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15" yWindow="7680" windowWidth="14415" windowHeight="1785" tabRatio="781"/>
  </bookViews>
  <sheets>
    <sheet name="Main" sheetId="11" r:id="rId1"/>
    <sheet name="ALARP Design" sheetId="31" r:id="rId2"/>
    <sheet name="Circuit Overview" sheetId="25" r:id="rId3"/>
    <sheet name="Soil Model" sheetId="24" r:id="rId4"/>
    <sheet name="Protection" sheetId="26" state="hidden" r:id="rId5"/>
    <sheet name="Safety Criteria" sheetId="27" state="hidden" r:id="rId6"/>
    <sheet name="Earth Grid Calcs" sheetId="12" state="hidden" r:id="rId7"/>
    <sheet name="Fault current calcs" sheetId="6" state="hidden" r:id="rId8"/>
    <sheet name="substations" sheetId="29" state="hidden" r:id="rId9"/>
    <sheet name="Field Checksheet" sheetId="21" state="hidden" r:id="rId10"/>
    <sheet name="Help" sheetId="23" r:id="rId11"/>
  </sheets>
  <functionGroups builtInGroupCount="17"/>
  <definedNames>
    <definedName name="_xlnm._FilterDatabase" localSheetId="7" hidden="1">'Fault current calcs'!$A$24:$I$631</definedName>
    <definedName name="AddTime">Main!$L$26</definedName>
    <definedName name="AddTimeStatus">Main!$K$26</definedName>
    <definedName name="ap_res">'Earth Grid Calcs'!$I$6</definedName>
    <definedName name="Argon_used_YN">Main!$K$63</definedName>
    <definedName name="BY_limit">Main!$F$50</definedName>
    <definedName name="Calc_row_num">'Fault current calcs'!$A$30</definedName>
    <definedName name="comms_distance">Main!$L$42</definedName>
    <definedName name="comms_EPR">Main!$H$42</definedName>
    <definedName name="comms_YN">Main!$F$42</definedName>
    <definedName name="conductive_pole">Main!$F$12</definedName>
    <definedName name="config">Main!$F$28</definedName>
    <definedName name="DBZS">Main!$F$29</definedName>
    <definedName name="designer_company">Main!$F$10</definedName>
    <definedName name="designer_name">Main!$F$9</definedName>
    <definedName name="Diligence">'ALARP Design'!$H$21</definedName>
    <definedName name="dist_to_1000V">Main!$F$60</definedName>
    <definedName name="dist_to_430V">Main!$F$59</definedName>
    <definedName name="dist_to_TDMEN">Main!$F$61</definedName>
    <definedName name="EF_curve">Main!$K$27</definedName>
    <definedName name="EF_pickup">Main!$K$22</definedName>
    <definedName name="ef_settings_used">Main!$F$22</definedName>
    <definedName name="EF_TL">Main!$K$23</definedName>
    <definedName name="EPR">'Fault current calcs'!$H$17</definedName>
    <definedName name="Equipment">substations!$C$2:$C$9</definedName>
    <definedName name="equipment_type">Main!$F$11</definedName>
    <definedName name="F_factor">Main!$F$39</definedName>
    <definedName name="f_factor_calc">'Earth Grid Calcs'!$B$66</definedName>
    <definedName name="feeder">Main!$F$19</definedName>
    <definedName name="fences_distance">Main!$L$40</definedName>
    <definedName name="fences_EPR">Main!$H$40</definedName>
    <definedName name="fences_YN">Main!$F$40</definedName>
    <definedName name="FL">Main!$F$21</definedName>
    <definedName name="fuse_rating">Main!$F$23</definedName>
    <definedName name="GPR">Main!$F$58</definedName>
    <definedName name="grad_ring_used">'Earth Grid Calcs'!$P$3</definedName>
    <definedName name="grad_ring_x1">'Earth Grid Calcs'!$Q$3</definedName>
    <definedName name="grading_ring_res">'Earth Grid Calcs'!#REF!</definedName>
    <definedName name="h">'Earth Grid Calcs'!$I$9</definedName>
    <definedName name="h_rho_1">Main!$K$15</definedName>
    <definedName name="HiSetStatus">Main!$K$24</definedName>
    <definedName name="HiSetTime">Main!$K$25</definedName>
    <definedName name="HV_fuse_time">Main!$K$47</definedName>
    <definedName name="HV_grid_res">'Earth Grid Calcs'!$I$4</definedName>
    <definedName name="HV_grid_res_main">Main!$F$35</definedName>
    <definedName name="I_f">'Fault current calcs'!$E$24</definedName>
    <definedName name="I_f_grading_ring">'Fault current calcs'!#REF!</definedName>
    <definedName name="IEF">Main!$L$24</definedName>
    <definedName name="IEF_Status">Main!$K$24</definedName>
    <definedName name="If_max">Main!$F$47</definedName>
    <definedName name="If_min">'Fault current calcs'!$E$20</definedName>
    <definedName name="Ifmax_total">'Fault current calcs'!$H$15</definedName>
    <definedName name="L">Main!$F$32</definedName>
    <definedName name="L_LV">Main!$K$32</definedName>
    <definedName name="location">Main!$F$5</definedName>
    <definedName name="location_category">Main!$F$14</definedName>
    <definedName name="lv_bond">Main!$K$31</definedName>
    <definedName name="LV_grid_res">Main!$K$34</definedName>
    <definedName name="lv_rod1_x">'Earth Grid Calcs'!#REF!</definedName>
    <definedName name="LV_Used">'Earth Grid Calcs'!#REF!</definedName>
    <definedName name="LV_used_main">Main!$G$30</definedName>
    <definedName name="LV_with_MEN">Main!$K$35</definedName>
    <definedName name="Max_Fault_Total_Fault">'Fault current calcs'!$H$15</definedName>
    <definedName name="max_touch_V">Main!$K$59</definedName>
    <definedName name="MEN_limit">Main!$F$49</definedName>
    <definedName name="MEN_series_length">Main!$K$39</definedName>
    <definedName name="MEN_series_Z">Main!$K$38</definedName>
    <definedName name="MEN_type">Main!$K$37</definedName>
    <definedName name="N">Main!$F$34</definedName>
    <definedName name="N_customers">Main!$F$37</definedName>
    <definedName name="N_LV">Main!$K$33</definedName>
    <definedName name="other_constraints">Main!$C$44</definedName>
    <definedName name="other_equipment">Main!$F$13</definedName>
    <definedName name="pipes_distance">Main!$L$43</definedName>
    <definedName name="pipes_EPR">Main!$H$43</definedName>
    <definedName name="pipes_YN">Main!$F$43</definedName>
    <definedName name="pole_ring_used">'Earth Grid Calcs'!$P$31</definedName>
    <definedName name="primary_EF_time">Main!$K$46</definedName>
    <definedName name="primary_EF_trip">Main!$K$45</definedName>
    <definedName name="_xlnm.Print_Area" localSheetId="2">'Circuit Overview'!$A$1:$R$36</definedName>
    <definedName name="_xlnm.Print_Area" localSheetId="0">Main!$A$1:$N$66</definedName>
    <definedName name="_xlnm.Print_Area" localSheetId="3">'Soil Model'!$A$1:$I$62</definedName>
    <definedName name="prj_num">Main!$F$7</definedName>
    <definedName name="rad">Main!$F$31</definedName>
    <definedName name="requiv">'Fault current calcs'!$G$29</definedName>
    <definedName name="res_test_location">'Soil Model'!$C$5</definedName>
    <definedName name="Rho">Main!$F$15</definedName>
    <definedName name="Rho_1">Main!$F$15</definedName>
    <definedName name="Rho_2">Main!$F$16</definedName>
    <definedName name="SEF_operates_YN">Main!$K$48</definedName>
    <definedName name="SEF_User">Main!$L$21</definedName>
    <definedName name="SEF_YN">Main!$K$21</definedName>
    <definedName name="Soil_V_500">'Fault current calcs'!$B$631</definedName>
    <definedName name="solver_adj" localSheetId="0" hidden="1">Main!$F$22,Main!$F$23,Main!#REF!</definedName>
    <definedName name="solver_adj" localSheetId="3" hidden="1">'Soil Model'!$F$22,'Soil Model'!$F$23,'Soil Model'!$G$22</definedName>
    <definedName name="solver_cvg" localSheetId="5" hidden="1">0.0001</definedName>
    <definedName name="solver_drv" localSheetId="5" hidden="1">1</definedName>
    <definedName name="solver_drv" localSheetId="3" hidden="1">1</definedName>
    <definedName name="solver_eng" localSheetId="0" hidden="1">1</definedName>
    <definedName name="solver_eng" localSheetId="5" hidden="1">1</definedName>
    <definedName name="solver_eng" localSheetId="3" hidden="1">1</definedName>
    <definedName name="solver_est" localSheetId="5" hidden="1">1</definedName>
    <definedName name="solver_est" localSheetId="3" hidden="1">1</definedName>
    <definedName name="solver_itr" localSheetId="5" hidden="1">2147483647</definedName>
    <definedName name="solver_itr" localSheetId="3" hidden="1">2147483647</definedName>
    <definedName name="solver_lhs1" localSheetId="0" hidden="1">Main!#REF!</definedName>
    <definedName name="solver_lhs1" localSheetId="3" hidden="1">'Soil Model'!$G$22</definedName>
    <definedName name="solver_lhs2" localSheetId="0" hidden="1">Main!$F$23</definedName>
    <definedName name="solver_lhs2" localSheetId="3" hidden="1">'Soil Model'!$G$22</definedName>
    <definedName name="solver_lhs3" localSheetId="0" hidden="1">Main!$F$23</definedName>
    <definedName name="solver_lhs3" localSheetId="3" hidden="1">'Soil Model'!$F$22</definedName>
    <definedName name="solver_lhs4" localSheetId="0" hidden="1">Main!$F$22</definedName>
    <definedName name="solver_lhs4" localSheetId="3" hidden="1">'Soil Model'!$F$22</definedName>
    <definedName name="solver_lhs5" localSheetId="0" hidden="1">Main!#REF!</definedName>
    <definedName name="solver_lhs5" localSheetId="3" hidden="1">'Soil Model'!$F$23</definedName>
    <definedName name="solver_lhs6" localSheetId="0" hidden="1">Main!$F$22</definedName>
    <definedName name="solver_lhs6" localSheetId="3" hidden="1">'Soil Model'!$F$23</definedName>
    <definedName name="solver_mip" localSheetId="5" hidden="1">2147483647</definedName>
    <definedName name="solver_mip" localSheetId="3" hidden="1">2147483647</definedName>
    <definedName name="solver_mni" localSheetId="5" hidden="1">30</definedName>
    <definedName name="solver_mrt" localSheetId="5" hidden="1">0.075</definedName>
    <definedName name="solver_msl" localSheetId="5" hidden="1">2</definedName>
    <definedName name="solver_msl" localSheetId="3" hidden="1">2</definedName>
    <definedName name="solver_neg" localSheetId="0" hidden="1">1</definedName>
    <definedName name="solver_neg" localSheetId="5" hidden="1">1</definedName>
    <definedName name="solver_neg" localSheetId="3" hidden="1">1</definedName>
    <definedName name="solver_nod" localSheetId="5" hidden="1">2147483647</definedName>
    <definedName name="solver_nod" localSheetId="3" hidden="1">2147483647</definedName>
    <definedName name="solver_num" localSheetId="0" hidden="1">6</definedName>
    <definedName name="solver_num" localSheetId="5" hidden="1">0</definedName>
    <definedName name="solver_num" localSheetId="3" hidden="1">6</definedName>
    <definedName name="solver_nwt" localSheetId="5" hidden="1">1</definedName>
    <definedName name="solver_nwt" localSheetId="3" hidden="1">1</definedName>
    <definedName name="solver_opt" localSheetId="0" hidden="1">Main!$F$24</definedName>
    <definedName name="solver_opt" localSheetId="5" hidden="1">'Safety Criteria'!$D$3</definedName>
    <definedName name="solver_opt" localSheetId="3" hidden="1">'Soil Model'!$F$24</definedName>
    <definedName name="solver_pre" localSheetId="5" hidden="1">0.000001</definedName>
    <definedName name="solver_rbv" localSheetId="5" hidden="1">1</definedName>
    <definedName name="solver_rbv" localSheetId="3" hidden="1">2</definedName>
    <definedName name="solver_rel1" localSheetId="0" hidden="1">3</definedName>
    <definedName name="solver_rel1" localSheetId="3" hidden="1">3</definedName>
    <definedName name="solver_rel2" localSheetId="0" hidden="1">1</definedName>
    <definedName name="solver_rel2" localSheetId="3" hidden="1">1</definedName>
    <definedName name="solver_rel3" localSheetId="0" hidden="1">3</definedName>
    <definedName name="solver_rel3" localSheetId="3" hidden="1">3</definedName>
    <definedName name="solver_rel4" localSheetId="0" hidden="1">1</definedName>
    <definedName name="solver_rel4" localSheetId="3" hidden="1">1</definedName>
    <definedName name="solver_rel5" localSheetId="0" hidden="1">1</definedName>
    <definedName name="solver_rel5" localSheetId="3" hidden="1">3</definedName>
    <definedName name="solver_rel6" localSheetId="0" hidden="1">3</definedName>
    <definedName name="solver_rel6" localSheetId="3" hidden="1">1</definedName>
    <definedName name="solver_rhs1" localSheetId="0" hidden="1">0.5</definedName>
    <definedName name="solver_rhs1" localSheetId="3" hidden="1">0.5</definedName>
    <definedName name="solver_rhs2" localSheetId="0" hidden="1">30000</definedName>
    <definedName name="solver_rhs2" localSheetId="3" hidden="1">8</definedName>
    <definedName name="solver_rhs3" localSheetId="0" hidden="1">1</definedName>
    <definedName name="solver_rhs3" localSheetId="3" hidden="1">1</definedName>
    <definedName name="solver_rhs4" localSheetId="0" hidden="1">30000</definedName>
    <definedName name="solver_rhs4" localSheetId="3" hidden="1">30000</definedName>
    <definedName name="solver_rhs5" localSheetId="0" hidden="1">10</definedName>
    <definedName name="solver_rhs5" localSheetId="3" hidden="1">1</definedName>
    <definedName name="solver_rhs6" localSheetId="0" hidden="1">1</definedName>
    <definedName name="solver_rhs6" localSheetId="3" hidden="1">30000</definedName>
    <definedName name="solver_rlx" localSheetId="5" hidden="1">2</definedName>
    <definedName name="solver_rlx" localSheetId="3" hidden="1">2</definedName>
    <definedName name="solver_rsd" localSheetId="5" hidden="1">0</definedName>
    <definedName name="solver_scl" localSheetId="5" hidden="1">1</definedName>
    <definedName name="solver_scl" localSheetId="3" hidden="1">2</definedName>
    <definedName name="solver_sho" localSheetId="5" hidden="1">2</definedName>
    <definedName name="solver_sho" localSheetId="3" hidden="1">2</definedName>
    <definedName name="solver_ssz" localSheetId="5" hidden="1">100</definedName>
    <definedName name="solver_ssz" localSheetId="3" hidden="1">0</definedName>
    <definedName name="solver_tim" localSheetId="5" hidden="1">2147483647</definedName>
    <definedName name="solver_tim" localSheetId="3" hidden="1">2147483647</definedName>
    <definedName name="solver_tol" localSheetId="5" hidden="1">0.01</definedName>
    <definedName name="solver_tol" localSheetId="3" hidden="1">0.01</definedName>
    <definedName name="solver_typ" localSheetId="0" hidden="1">2</definedName>
    <definedName name="solver_typ" localSheetId="5" hidden="1">1</definedName>
    <definedName name="solver_typ" localSheetId="3" hidden="1">2</definedName>
    <definedName name="solver_val" localSheetId="0" hidden="1">0</definedName>
    <definedName name="solver_val" localSheetId="5" hidden="1">0</definedName>
    <definedName name="solver_val" localSheetId="3" hidden="1">0</definedName>
    <definedName name="solver_ver" localSheetId="0" hidden="1">3</definedName>
    <definedName name="solver_ver" localSheetId="5" hidden="1">3</definedName>
    <definedName name="solver_ver" localSheetId="3" hidden="1">3</definedName>
    <definedName name="user_limit">Main!$K$49</definedName>
    <definedName name="user_limit_note">Main!$K$50</definedName>
    <definedName name="V_step_max">Main!$K$60</definedName>
    <definedName name="voltage">Main!$F$20</definedName>
    <definedName name="Z_MEN">Main!$F$38</definedName>
    <definedName name="ZS">Main!$F$17</definedName>
    <definedName name="ZS_list">substations!$A$2:$A$169</definedName>
    <definedName name="ZS_other">Main!$F$18</definedName>
  </definedNames>
  <calcPr calcId="145621"/>
</workbook>
</file>

<file path=xl/calcChain.xml><?xml version="1.0" encoding="utf-8"?>
<calcChain xmlns="http://schemas.openxmlformats.org/spreadsheetml/2006/main">
  <c r="G28" i="11" l="1"/>
  <c r="H21" i="31" l="1"/>
  <c r="N1" i="11" l="1"/>
  <c r="C13" i="26"/>
  <c r="B13" i="26"/>
  <c r="G102" i="11" l="1"/>
  <c r="G103" i="11"/>
  <c r="G101" i="11"/>
  <c r="H103" i="11"/>
  <c r="H102" i="11"/>
  <c r="H101" i="11"/>
  <c r="F71" i="11"/>
  <c r="C6" i="26" l="1"/>
  <c r="B29" i="26" l="1"/>
  <c r="B28" i="26"/>
  <c r="B27" i="26"/>
  <c r="G26" i="26" l="1"/>
  <c r="B8" i="26" l="1"/>
  <c r="B22" i="24" l="1"/>
  <c r="B23" i="24"/>
  <c r="B24" i="24"/>
  <c r="B25" i="24"/>
  <c r="B26" i="24"/>
  <c r="B27" i="24"/>
  <c r="B28" i="24"/>
  <c r="B21" i="24"/>
  <c r="I9" i="12" l="1"/>
  <c r="B7" i="26" l="1"/>
  <c r="B6" i="26"/>
  <c r="F75" i="11" l="1"/>
  <c r="G92" i="11"/>
  <c r="G100" i="11"/>
  <c r="G99" i="11"/>
  <c r="F90" i="11"/>
  <c r="G98" i="11"/>
  <c r="H100" i="11"/>
  <c r="H99" i="11"/>
  <c r="H98" i="11"/>
  <c r="L89" i="11"/>
  <c r="L90" i="11"/>
  <c r="H92" i="11"/>
  <c r="F89" i="11"/>
  <c r="F88" i="11"/>
  <c r="E90" i="11"/>
  <c r="M90" i="11" s="1"/>
  <c r="E89" i="11"/>
  <c r="M89" i="11" s="1"/>
  <c r="G105" i="11" l="1"/>
  <c r="G30" i="11"/>
  <c r="L75" i="11" l="1"/>
  <c r="G75" i="11" l="1"/>
  <c r="L88" i="11"/>
  <c r="L87" i="11"/>
  <c r="L86" i="11"/>
  <c r="L85" i="11"/>
  <c r="L84" i="11"/>
  <c r="L83" i="11"/>
  <c r="L82" i="11"/>
  <c r="L81" i="11"/>
  <c r="L80" i="11"/>
  <c r="L79" i="11"/>
  <c r="L78" i="11"/>
  <c r="L77" i="11"/>
  <c r="L76" i="11"/>
  <c r="L74" i="11"/>
  <c r="L73" i="11"/>
  <c r="L72" i="11"/>
  <c r="L71" i="11"/>
  <c r="L93" i="11" l="1"/>
  <c r="L94" i="11" s="1"/>
  <c r="B4" i="24"/>
  <c r="G79" i="11" l="1"/>
  <c r="G91" i="11" l="1"/>
  <c r="G90" i="11"/>
  <c r="G89" i="11"/>
  <c r="G88" i="11"/>
  <c r="G87" i="11"/>
  <c r="G86" i="11"/>
  <c r="G85" i="11"/>
  <c r="G84" i="11"/>
  <c r="G83" i="11"/>
  <c r="G82" i="11"/>
  <c r="G81" i="11"/>
  <c r="G80" i="11"/>
  <c r="G78" i="11"/>
  <c r="G77" i="11"/>
  <c r="G76" i="11"/>
  <c r="G74" i="11"/>
  <c r="G73" i="11"/>
  <c r="G72" i="11"/>
  <c r="G71" i="11"/>
  <c r="G93" i="11" l="1"/>
  <c r="G94" i="11" s="1"/>
  <c r="F78" i="11"/>
  <c r="F87" i="11"/>
  <c r="F86" i="11"/>
  <c r="F85" i="11"/>
  <c r="F84" i="11"/>
  <c r="F83" i="11"/>
  <c r="F82" i="11"/>
  <c r="F81" i="11"/>
  <c r="F80" i="11"/>
  <c r="F79" i="11"/>
  <c r="F77" i="11"/>
  <c r="F76" i="11"/>
  <c r="F74" i="11"/>
  <c r="F73" i="11"/>
  <c r="F72" i="11"/>
  <c r="H91" i="11"/>
  <c r="H90" i="11"/>
  <c r="H89" i="11"/>
  <c r="F93" i="11" l="1"/>
  <c r="F94" i="11" s="1"/>
  <c r="F98" i="11" l="1"/>
  <c r="L95" i="11"/>
  <c r="G95" i="11"/>
  <c r="B2" i="25"/>
  <c r="F15" i="11" l="1"/>
  <c r="F16" i="11"/>
  <c r="J43" i="11" l="1"/>
  <c r="J42" i="11"/>
  <c r="J41" i="11"/>
  <c r="J40" i="11"/>
  <c r="C30" i="24" l="1"/>
  <c r="A24" i="26"/>
  <c r="I21" i="12" l="1"/>
  <c r="R32" i="11" l="1"/>
  <c r="R33" i="11" s="1"/>
  <c r="R34" i="11" s="1"/>
  <c r="R31" i="11"/>
  <c r="A1" i="25" l="1"/>
  <c r="F11" i="24"/>
  <c r="C21" i="24" s="1"/>
  <c r="I20" i="12"/>
  <c r="B19" i="24"/>
  <c r="I1" i="12"/>
  <c r="E5" i="6"/>
  <c r="E4" i="6"/>
  <c r="I30" i="12"/>
  <c r="B66" i="12" s="1"/>
  <c r="F39" i="11" s="1"/>
  <c r="I2" i="12"/>
  <c r="A30" i="6"/>
  <c r="I7" i="12"/>
  <c r="I8" i="12"/>
  <c r="I22" i="12"/>
  <c r="I25" i="12" s="1"/>
  <c r="I10" i="12"/>
  <c r="I13" i="12" s="1"/>
  <c r="E3" i="6"/>
  <c r="E2" i="6"/>
  <c r="F17" i="24"/>
  <c r="C27" i="24" s="1"/>
  <c r="J27" i="24"/>
  <c r="F18" i="24"/>
  <c r="C28" i="24" s="1"/>
  <c r="K15" i="11"/>
  <c r="I3" i="12" s="1"/>
  <c r="I6" i="12" s="1"/>
  <c r="L76" i="24"/>
  <c r="L75" i="24"/>
  <c r="F12" i="24"/>
  <c r="C22" i="24" s="1"/>
  <c r="F13" i="24"/>
  <c r="C23" i="24" s="1"/>
  <c r="F14" i="24"/>
  <c r="C24" i="24" s="1"/>
  <c r="F15" i="24"/>
  <c r="C25" i="24" s="1"/>
  <c r="F16" i="24"/>
  <c r="C26" i="24" s="1"/>
  <c r="B13" i="25"/>
  <c r="E1" i="6"/>
  <c r="N108" i="24"/>
  <c r="N132" i="24"/>
  <c r="N138" i="24"/>
  <c r="N109" i="24"/>
  <c r="N111" i="24"/>
  <c r="N119" i="24"/>
  <c r="N87" i="24"/>
  <c r="N95" i="24"/>
  <c r="N139" i="24"/>
  <c r="N99" i="24"/>
  <c r="N77" i="24"/>
  <c r="N107" i="24"/>
  <c r="N136" i="24"/>
  <c r="N144" i="24"/>
  <c r="N112" i="24"/>
  <c r="N81" i="24"/>
  <c r="N103" i="24"/>
  <c r="N82" i="24"/>
  <c r="N121" i="24"/>
  <c r="N127" i="24"/>
  <c r="N118" i="24"/>
  <c r="N89" i="24"/>
  <c r="N102" i="24"/>
  <c r="N92" i="24"/>
  <c r="N105" i="24"/>
  <c r="N91" i="24"/>
  <c r="N88" i="24"/>
  <c r="N101" i="24"/>
  <c r="N115" i="24"/>
  <c r="N85" i="24"/>
  <c r="N76" i="24"/>
  <c r="N133" i="24"/>
  <c r="N122" i="24"/>
  <c r="N116" i="24"/>
  <c r="N117" i="24"/>
  <c r="N129" i="24"/>
  <c r="N75" i="24"/>
  <c r="N79" i="24"/>
  <c r="N113" i="24"/>
  <c r="N142" i="24"/>
  <c r="N96" i="24"/>
  <c r="N104" i="24"/>
  <c r="N98" i="24"/>
  <c r="N110" i="24"/>
  <c r="N128" i="24"/>
  <c r="N114" i="24"/>
  <c r="N124" i="24"/>
  <c r="N100" i="24"/>
  <c r="N125" i="24"/>
  <c r="N131" i="24"/>
  <c r="N141" i="24"/>
  <c r="N83" i="24"/>
  <c r="N135" i="24"/>
  <c r="N120" i="24"/>
  <c r="N137" i="24"/>
  <c r="N78" i="24"/>
  <c r="N86" i="24"/>
  <c r="N126" i="24"/>
  <c r="N84" i="24"/>
  <c r="N94" i="24"/>
  <c r="N93" i="24"/>
  <c r="N143" i="24"/>
  <c r="N140" i="24"/>
  <c r="N90" i="24"/>
  <c r="N123" i="24"/>
  <c r="N130" i="24"/>
  <c r="N80" i="24"/>
  <c r="N97" i="24"/>
  <c r="N134" i="24"/>
  <c r="N106" i="24"/>
  <c r="J28" i="24" l="1"/>
  <c r="K28" i="24" s="1"/>
  <c r="K27" i="24"/>
  <c r="J22" i="24"/>
  <c r="K22" i="24" s="1"/>
  <c r="J21" i="24"/>
  <c r="K21" i="24" s="1"/>
  <c r="E6" i="6"/>
  <c r="D1" i="27"/>
  <c r="D2" i="27" s="1"/>
  <c r="I19" i="12"/>
  <c r="I24" i="12" s="1"/>
  <c r="I26" i="12" s="1"/>
  <c r="J26" i="24"/>
  <c r="K26" i="24" s="1"/>
  <c r="J25" i="24"/>
  <c r="K25" i="24" s="1"/>
  <c r="I31" i="12"/>
  <c r="I34" i="12" s="1"/>
  <c r="L78" i="24"/>
  <c r="F6" i="25" l="1"/>
  <c r="J24" i="24"/>
  <c r="K24" i="24" s="1"/>
  <c r="J23" i="24"/>
  <c r="K23" i="24" s="1"/>
  <c r="I12" i="12"/>
  <c r="K34" i="11"/>
  <c r="E11" i="6" s="1"/>
  <c r="E22" i="6" s="1"/>
  <c r="P2" i="27"/>
  <c r="I33" i="12"/>
  <c r="I32" i="12"/>
  <c r="K29" i="24" l="1"/>
  <c r="F24" i="24" s="1"/>
  <c r="I14" i="12"/>
  <c r="F35" i="11" s="1"/>
  <c r="N28" i="25"/>
  <c r="I35" i="12"/>
  <c r="F38" i="11" s="1"/>
  <c r="K35" i="11" s="1"/>
  <c r="E10" i="6" l="1"/>
  <c r="I28" i="25" s="1"/>
  <c r="E9" i="6"/>
  <c r="K36" i="11"/>
  <c r="E8" i="6"/>
  <c r="Q28" i="25"/>
  <c r="E13" i="6" l="1"/>
  <c r="E12" i="6"/>
  <c r="I7" i="6" l="1"/>
  <c r="E7" i="6"/>
  <c r="E19" i="6" s="1"/>
  <c r="E14" i="6" l="1"/>
  <c r="E15" i="6" s="1"/>
  <c r="H15" i="6" s="1"/>
  <c r="H19" i="6"/>
  <c r="K47" i="11"/>
  <c r="L47" i="11"/>
  <c r="H14" i="6" l="1"/>
  <c r="F45" i="11"/>
  <c r="E20" i="6"/>
  <c r="E16" i="6"/>
  <c r="E17" i="6" s="1"/>
  <c r="F24" i="6" s="1"/>
  <c r="B38" i="26"/>
  <c r="B10" i="26"/>
  <c r="B48" i="26"/>
  <c r="B49" i="26"/>
  <c r="B51" i="26"/>
  <c r="B35" i="26"/>
  <c r="B43" i="26"/>
  <c r="B34" i="26"/>
  <c r="B33" i="26"/>
  <c r="B46" i="26"/>
  <c r="B55" i="26"/>
  <c r="B40" i="26"/>
  <c r="B37" i="26"/>
  <c r="B36" i="26"/>
  <c r="B47" i="26"/>
  <c r="B44" i="26"/>
  <c r="B50" i="26"/>
  <c r="B54" i="26"/>
  <c r="B57" i="26"/>
  <c r="B39" i="26"/>
  <c r="B32" i="26"/>
  <c r="B52" i="26"/>
  <c r="B53" i="26"/>
  <c r="B11" i="26"/>
  <c r="B31" i="26"/>
  <c r="B56" i="26"/>
  <c r="B9" i="26"/>
  <c r="B58" i="26"/>
  <c r="B41" i="26"/>
  <c r="B30" i="26"/>
  <c r="B42" i="26"/>
  <c r="B45" i="26"/>
  <c r="E26" i="6" l="1"/>
  <c r="H26" i="6" s="1"/>
  <c r="Q32" i="25" s="1"/>
  <c r="F21" i="26"/>
  <c r="E20" i="26"/>
  <c r="E19" i="26"/>
  <c r="F22" i="26"/>
  <c r="F18" i="26"/>
  <c r="F20" i="26"/>
  <c r="E21" i="26"/>
  <c r="K48" i="11"/>
  <c r="F23" i="26"/>
  <c r="E17" i="26"/>
  <c r="E22" i="26"/>
  <c r="E16" i="26"/>
  <c r="G16" i="26" s="1"/>
  <c r="F19" i="26"/>
  <c r="E18" i="26"/>
  <c r="E23" i="26"/>
  <c r="E24" i="26"/>
  <c r="G24" i="26" s="1"/>
  <c r="F17" i="26"/>
  <c r="F46" i="11"/>
  <c r="I20" i="26"/>
  <c r="H16" i="6"/>
  <c r="F47" i="11"/>
  <c r="N6" i="25" s="1"/>
  <c r="I16" i="6"/>
  <c r="E27" i="6"/>
  <c r="B12" i="26"/>
  <c r="F25" i="6"/>
  <c r="E25" i="6" s="1"/>
  <c r="I32" i="25" s="1"/>
  <c r="E24" i="6"/>
  <c r="H17" i="6"/>
  <c r="C55" i="26"/>
  <c r="C36" i="26"/>
  <c r="C48" i="26"/>
  <c r="C43" i="26"/>
  <c r="C58" i="26"/>
  <c r="C10" i="26"/>
  <c r="C33" i="26"/>
  <c r="C35" i="26"/>
  <c r="C51" i="26"/>
  <c r="C38" i="26"/>
  <c r="C45" i="26"/>
  <c r="C9" i="26"/>
  <c r="C32" i="26"/>
  <c r="C53" i="26"/>
  <c r="C40" i="26"/>
  <c r="C31" i="26"/>
  <c r="C47" i="26"/>
  <c r="C37" i="26"/>
  <c r="C34" i="26"/>
  <c r="C42" i="26"/>
  <c r="C30" i="26"/>
  <c r="C46" i="26"/>
  <c r="C44" i="26"/>
  <c r="C49" i="26"/>
  <c r="C39" i="26"/>
  <c r="C11" i="26"/>
  <c r="C57" i="26"/>
  <c r="C41" i="26"/>
  <c r="C54" i="26"/>
  <c r="C50" i="26"/>
  <c r="C52" i="26"/>
  <c r="C56" i="26"/>
  <c r="G18" i="26" l="1"/>
  <c r="G20" i="26"/>
  <c r="G19" i="26"/>
  <c r="G17" i="26"/>
  <c r="H18" i="26"/>
  <c r="G21" i="26"/>
  <c r="G22" i="26"/>
  <c r="G23" i="26"/>
  <c r="C12" i="26"/>
  <c r="C2" i="26" s="1"/>
  <c r="H24" i="26"/>
  <c r="J24" i="26" s="1"/>
  <c r="I18" i="26"/>
  <c r="I19" i="26"/>
  <c r="H16" i="26"/>
  <c r="J16" i="26" s="1"/>
  <c r="H19" i="26"/>
  <c r="N7" i="25"/>
  <c r="I21" i="26"/>
  <c r="H22" i="26"/>
  <c r="H21" i="26"/>
  <c r="H23" i="26"/>
  <c r="I22" i="26"/>
  <c r="H20" i="26"/>
  <c r="J20" i="26" s="1"/>
  <c r="I23" i="26"/>
  <c r="I17" i="26"/>
  <c r="H17" i="26"/>
  <c r="I15" i="6"/>
  <c r="I14" i="6" s="1"/>
  <c r="H27" i="6"/>
  <c r="G22" i="25"/>
  <c r="F58" i="11"/>
  <c r="J18" i="26" l="1"/>
  <c r="J23" i="26"/>
  <c r="J17" i="26"/>
  <c r="G25" i="26"/>
  <c r="J21" i="26"/>
  <c r="J22" i="26"/>
  <c r="J19" i="26"/>
  <c r="I16" i="25"/>
  <c r="E21" i="6"/>
  <c r="B2" i="26"/>
  <c r="J25" i="26" l="1"/>
  <c r="K46" i="11" l="1"/>
  <c r="L46" i="11" s="1"/>
  <c r="F56" i="11" l="1"/>
  <c r="F57" i="11"/>
  <c r="K56" i="11"/>
  <c r="D3" i="27"/>
  <c r="AB5" i="27" s="1"/>
  <c r="AC5" i="27" l="1"/>
  <c r="R5" i="27"/>
  <c r="AG5" i="27"/>
  <c r="AH4" i="27" s="1"/>
  <c r="F52" i="11" s="1"/>
  <c r="E5" i="27"/>
  <c r="AY5" i="27"/>
  <c r="F5" i="27"/>
  <c r="AA5" i="27"/>
  <c r="AO5" i="27"/>
  <c r="B5" i="27"/>
  <c r="S5" i="27"/>
  <c r="O5" i="27"/>
  <c r="C5" i="27"/>
  <c r="AT5" i="27"/>
  <c r="Y5" i="27"/>
  <c r="T5" i="27"/>
  <c r="AD5" i="27"/>
  <c r="H5" i="27"/>
  <c r="Z5" i="27"/>
  <c r="AP5" i="27"/>
  <c r="AX5" i="27"/>
  <c r="BB5" i="27"/>
  <c r="AQ5" i="27"/>
  <c r="AZ5" i="27"/>
  <c r="L5" i="27"/>
  <c r="W5" i="27"/>
  <c r="AK5" i="27"/>
  <c r="AL4" i="27" s="1"/>
  <c r="G5" i="27"/>
  <c r="I5" i="27"/>
  <c r="BA5" i="27"/>
  <c r="AR5" i="27"/>
  <c r="Q5" i="27"/>
  <c r="AW5" i="27"/>
  <c r="AS5" i="27"/>
  <c r="M5" i="27"/>
  <c r="D5" i="27"/>
  <c r="N5" i="27"/>
  <c r="X5" i="27"/>
  <c r="P5" i="27"/>
  <c r="AA4" i="27" l="1"/>
  <c r="F51" i="11" s="1"/>
  <c r="AS4" i="27"/>
  <c r="F54" i="11" s="1"/>
  <c r="D4" i="27"/>
  <c r="F49" i="11" s="1"/>
  <c r="F55" i="11" s="1"/>
  <c r="M1" i="11" s="1"/>
  <c r="BA4" i="27"/>
  <c r="F53" i="11" s="1"/>
  <c r="P4" i="27"/>
  <c r="F50" i="11" s="1"/>
  <c r="N9" i="25" l="1"/>
  <c r="N10" i="25" s="1"/>
  <c r="H40" i="11"/>
  <c r="O12" i="25" l="1"/>
  <c r="H42" i="11"/>
  <c r="H43" i="11"/>
  <c r="H44" i="11"/>
  <c r="F63" i="11"/>
  <c r="N11" i="25" l="1"/>
  <c r="H41" i="11"/>
  <c r="B586" i="6"/>
  <c r="B522" i="6"/>
  <c r="B437" i="6"/>
  <c r="B566" i="6"/>
  <c r="B74" i="6"/>
  <c r="B347" i="6"/>
  <c r="B190" i="6"/>
  <c r="B34" i="6"/>
  <c r="B254" i="6"/>
  <c r="B294" i="6"/>
  <c r="B446" i="6"/>
  <c r="B455" i="6"/>
  <c r="B392" i="6"/>
  <c r="B350" i="6"/>
  <c r="B434" i="6"/>
  <c r="B209" i="6"/>
  <c r="B110" i="6"/>
  <c r="B551" i="6"/>
  <c r="B614" i="6"/>
  <c r="B227" i="6"/>
  <c r="B212" i="6"/>
  <c r="B264" i="6"/>
  <c r="B371" i="6"/>
  <c r="B210" i="6"/>
  <c r="B33" i="6"/>
  <c r="B186" i="6"/>
  <c r="B436" i="6"/>
  <c r="B105" i="6"/>
  <c r="B249" i="6"/>
  <c r="B297" i="6"/>
  <c r="B135" i="6"/>
  <c r="B317" i="6"/>
  <c r="F62" i="11"/>
  <c r="B300" i="6"/>
  <c r="B171" i="6"/>
  <c r="B387" i="6"/>
  <c r="B565" i="6"/>
  <c r="B104" i="6"/>
  <c r="B114" i="6"/>
  <c r="B592" i="6"/>
  <c r="B51" i="6"/>
  <c r="B524" i="6"/>
  <c r="B495" i="6"/>
  <c r="B109" i="6"/>
  <c r="B617" i="6"/>
  <c r="B295" i="6"/>
  <c r="B138" i="6"/>
  <c r="B479" i="6"/>
  <c r="B577" i="6"/>
  <c r="B194" i="6"/>
  <c r="B440" i="6"/>
  <c r="B374" i="6"/>
  <c r="B511" i="6"/>
  <c r="B323" i="6"/>
  <c r="B398" i="6"/>
  <c r="B188" i="6"/>
  <c r="B534" i="6"/>
  <c r="F61" i="11"/>
  <c r="B229" i="6"/>
  <c r="B259" i="6"/>
  <c r="B531" i="6"/>
  <c r="B540" i="6"/>
  <c r="B571" i="6"/>
  <c r="B140" i="6"/>
  <c r="B180" i="6"/>
  <c r="B174" i="6"/>
  <c r="B117" i="6"/>
  <c r="B618" i="6"/>
  <c r="B439" i="6"/>
  <c r="B164" i="6"/>
  <c r="B377" i="6"/>
  <c r="B527" i="6"/>
  <c r="B219" i="6"/>
  <c r="B208" i="6"/>
  <c r="B445" i="6"/>
  <c r="B47" i="6"/>
  <c r="B405" i="6"/>
  <c r="B423" i="6"/>
  <c r="B607" i="6"/>
  <c r="B46" i="6"/>
  <c r="B372" i="6"/>
  <c r="B62" i="6"/>
  <c r="B308" i="6"/>
  <c r="B605" i="6"/>
  <c r="B154" i="6"/>
  <c r="B516" i="6"/>
  <c r="B178" i="6"/>
  <c r="B532" i="6"/>
  <c r="B594" i="6"/>
  <c r="B528" i="6"/>
  <c r="B327" i="6"/>
  <c r="B88" i="6"/>
  <c r="B404" i="6"/>
  <c r="B272" i="6"/>
  <c r="B344" i="6"/>
  <c r="B466" i="6"/>
  <c r="B512" i="6"/>
  <c r="B241" i="6"/>
  <c r="B224" i="6"/>
  <c r="B231" i="6"/>
  <c r="B600" i="6"/>
  <c r="B68" i="6"/>
  <c r="B591" i="6"/>
  <c r="B312" i="6"/>
  <c r="B123" i="6"/>
  <c r="B177" i="6"/>
  <c r="B491" i="6"/>
  <c r="B336" i="6"/>
  <c r="B153" i="6"/>
  <c r="B318" i="6"/>
  <c r="B267" i="6"/>
  <c r="B91" i="6"/>
  <c r="B560" i="6"/>
  <c r="B296" i="6"/>
  <c r="B401" i="6"/>
  <c r="B578" i="6"/>
  <c r="B503" i="6"/>
  <c r="B83" i="6"/>
  <c r="B382" i="6"/>
  <c r="B393" i="6"/>
  <c r="B537" i="6"/>
  <c r="B361" i="6"/>
  <c r="B275" i="6"/>
  <c r="B39" i="6"/>
  <c r="B426" i="6"/>
  <c r="B279" i="6"/>
  <c r="B342" i="6"/>
  <c r="B75" i="6"/>
  <c r="B276" i="6"/>
  <c r="B550" i="6"/>
  <c r="B49" i="6"/>
  <c r="B533" i="6"/>
  <c r="B432" i="6"/>
  <c r="B396" i="6"/>
  <c r="B358" i="6"/>
  <c r="B381" i="6"/>
  <c r="B246" i="6"/>
  <c r="B245" i="6"/>
  <c r="B72" i="6"/>
  <c r="B626" i="6"/>
  <c r="B501" i="6"/>
  <c r="B319" i="6"/>
  <c r="B390" i="6"/>
  <c r="B321" i="6"/>
  <c r="B50" i="6"/>
  <c r="B362" i="6"/>
  <c r="B587" i="6"/>
  <c r="B492" i="6"/>
  <c r="B200" i="6"/>
  <c r="B163" i="6"/>
  <c r="B520" i="6"/>
  <c r="B207" i="6"/>
  <c r="B458" i="6"/>
  <c r="B338" i="6"/>
  <c r="B328" i="6"/>
  <c r="B215" i="6"/>
  <c r="B448" i="6"/>
  <c r="B113" i="6"/>
  <c r="B462" i="6"/>
  <c r="B127" i="6"/>
  <c r="B356" i="6"/>
  <c r="B214" i="6"/>
  <c r="B288" i="6"/>
  <c r="B121" i="6"/>
  <c r="B176" i="6"/>
  <c r="B122" i="6"/>
  <c r="B244" i="6"/>
  <c r="B341" i="6"/>
  <c r="B193" i="6"/>
  <c r="B221" i="6"/>
  <c r="B536" i="6"/>
  <c r="B203" i="6"/>
  <c r="B451" i="6"/>
  <c r="B139" i="6"/>
  <c r="B66" i="6"/>
  <c r="B575" i="6"/>
  <c r="B36" i="6"/>
  <c r="B55" i="6"/>
  <c r="B144" i="6"/>
  <c r="B79" i="6"/>
  <c r="B162" i="6"/>
  <c r="B133" i="6"/>
  <c r="B220" i="6"/>
  <c r="B240" i="6"/>
  <c r="B441" i="6"/>
  <c r="B218" i="6"/>
  <c r="B332" i="6"/>
  <c r="B409" i="6"/>
  <c r="B299" i="6"/>
  <c r="B613" i="6"/>
  <c r="B235" i="6"/>
  <c r="B281" i="6"/>
  <c r="B413" i="6"/>
  <c r="B150" i="6"/>
  <c r="B334" i="6"/>
  <c r="B103" i="6"/>
  <c r="B487" i="6"/>
  <c r="B599" i="6"/>
  <c r="B429" i="6"/>
  <c r="B237" i="6"/>
  <c r="B518" i="6"/>
  <c r="B42" i="6"/>
  <c r="B230" i="6"/>
  <c r="B397" i="6"/>
  <c r="B509" i="6"/>
  <c r="B402" i="6"/>
  <c r="B35" i="6"/>
  <c r="B217" i="6"/>
  <c r="B187" i="6"/>
  <c r="B427" i="6"/>
  <c r="B192" i="6"/>
  <c r="B472" i="6"/>
  <c r="B32" i="6"/>
  <c r="B505" i="6"/>
  <c r="B471" i="6"/>
  <c r="B481" i="6"/>
  <c r="B157" i="6"/>
  <c r="B424" i="6"/>
  <c r="B97" i="6"/>
  <c r="B601" i="6"/>
  <c r="B90" i="6"/>
  <c r="B238" i="6"/>
  <c r="B142" i="6"/>
  <c r="B340" i="6"/>
  <c r="B76" i="6"/>
  <c r="B53" i="6"/>
  <c r="B453" i="6"/>
  <c r="B118" i="6"/>
  <c r="B624" i="6"/>
  <c r="B292" i="6"/>
  <c r="B502" i="6"/>
  <c r="B291" i="6"/>
  <c r="B589" i="6"/>
  <c r="B568" i="6"/>
  <c r="B584" i="6"/>
  <c r="B410" i="6"/>
  <c r="B545" i="6"/>
  <c r="B80" i="6"/>
  <c r="B482" i="6"/>
  <c r="B206" i="6"/>
  <c r="B450" i="6"/>
  <c r="B301" i="6"/>
  <c r="B222" i="6"/>
  <c r="B101" i="6"/>
  <c r="B256" i="6"/>
  <c r="B287" i="6"/>
  <c r="B544" i="6"/>
  <c r="B86" i="6"/>
  <c r="B514" i="6"/>
  <c r="B373" i="6"/>
  <c r="B438" i="6"/>
  <c r="B313" i="6"/>
  <c r="B444" i="6"/>
  <c r="B64" i="6"/>
  <c r="B56" i="6"/>
  <c r="B202" i="6"/>
  <c r="B268" i="6"/>
  <c r="B631" i="6"/>
  <c r="B175" i="6"/>
  <c r="B257" i="6"/>
  <c r="B265" i="6"/>
  <c r="B304" i="6"/>
  <c r="B447" i="6"/>
  <c r="B597" i="6"/>
  <c r="B552" i="6"/>
  <c r="B84" i="6"/>
  <c r="B468" i="6"/>
  <c r="B470" i="6"/>
  <c r="B63" i="6"/>
  <c r="B146" i="6"/>
  <c r="B508" i="6"/>
  <c r="B529" i="6"/>
  <c r="B610" i="6"/>
  <c r="B476" i="6"/>
  <c r="B184" i="6"/>
  <c r="B151" i="6"/>
  <c r="B351" i="6"/>
  <c r="B158" i="6"/>
  <c r="B147" i="6"/>
  <c r="B368" i="6"/>
  <c r="B415" i="6"/>
  <c r="B430" i="6"/>
  <c r="B352" i="6"/>
  <c r="B595" i="6"/>
  <c r="B302" i="6"/>
  <c r="B283" i="6"/>
  <c r="B67" i="6"/>
  <c r="B248" i="6"/>
  <c r="B596" i="6"/>
  <c r="B130" i="6"/>
  <c r="B573" i="6"/>
  <c r="B78" i="6"/>
  <c r="B286" i="6"/>
  <c r="B616" i="6"/>
  <c r="B326" i="6"/>
  <c r="B234" i="6"/>
  <c r="B474" i="6"/>
  <c r="B330" i="6"/>
  <c r="B513" i="6"/>
  <c r="B388" i="6"/>
  <c r="B41" i="6"/>
  <c r="B54" i="6"/>
  <c r="B307" i="6"/>
  <c r="B126" i="6"/>
  <c r="B82" i="6"/>
  <c r="B556" i="6"/>
  <c r="B145" i="6"/>
  <c r="B370" i="6"/>
  <c r="B349" i="6"/>
  <c r="B606" i="6"/>
  <c r="B269" i="6"/>
  <c r="B363" i="6"/>
  <c r="B612" i="6"/>
  <c r="B250" i="6"/>
  <c r="B394" i="6"/>
  <c r="B260" i="6"/>
  <c r="B263" i="6"/>
  <c r="B166" i="6"/>
  <c r="B473" i="6"/>
  <c r="B630" i="6"/>
  <c r="B395" i="6"/>
  <c r="B619" i="6"/>
  <c r="B115" i="6"/>
  <c r="B386" i="6"/>
  <c r="B567" i="6"/>
  <c r="B320" i="6"/>
  <c r="B346" i="6"/>
  <c r="B543" i="6"/>
  <c r="B549" i="6"/>
  <c r="B99" i="6"/>
  <c r="B530" i="6"/>
  <c r="B106" i="6"/>
  <c r="B236" i="6"/>
  <c r="B546" i="6"/>
  <c r="B435" i="6"/>
  <c r="B94" i="6"/>
  <c r="B425" i="6"/>
  <c r="B379" i="6"/>
  <c r="B383" i="6"/>
  <c r="B574" i="6"/>
  <c r="B155" i="6"/>
  <c r="B315" i="6"/>
  <c r="B541" i="6"/>
  <c r="B273" i="6"/>
  <c r="B628" i="6"/>
  <c r="B559" i="6"/>
  <c r="B582" i="6"/>
  <c r="B449" i="6"/>
  <c r="B132" i="6"/>
  <c r="B526" i="6"/>
  <c r="B542" i="6"/>
  <c r="B412" i="6"/>
  <c r="B431" i="6"/>
  <c r="B538" i="6"/>
  <c r="B44" i="6"/>
  <c r="B233" i="6"/>
  <c r="B343" i="6"/>
  <c r="B225" i="6"/>
  <c r="B70" i="6"/>
  <c r="B173" i="6"/>
  <c r="B400" i="6"/>
  <c r="B353" i="6"/>
  <c r="B510" i="6"/>
  <c r="B488" i="6"/>
  <c r="B284" i="6"/>
  <c r="B205" i="6"/>
  <c r="B324" i="6"/>
  <c r="B116" i="6"/>
  <c r="B182" i="6"/>
  <c r="B555" i="6"/>
  <c r="B337" i="6"/>
  <c r="B469" i="6"/>
  <c r="B490" i="6"/>
  <c r="B561" i="6"/>
  <c r="B339" i="6"/>
  <c r="B137" i="6"/>
  <c r="B211" i="6"/>
  <c r="B119" i="6"/>
  <c r="B454" i="6"/>
  <c r="B406" i="6"/>
  <c r="B428" i="6"/>
  <c r="B548" i="6"/>
  <c r="B365" i="6"/>
  <c r="B519" i="6"/>
  <c r="B45" i="6"/>
  <c r="B172" i="6"/>
  <c r="B310" i="6"/>
  <c r="B366" i="6"/>
  <c r="B369" i="6"/>
  <c r="B152" i="6"/>
  <c r="B572" i="6"/>
  <c r="B464" i="6"/>
  <c r="B141" i="6"/>
  <c r="B380" i="6"/>
  <c r="B590" i="6"/>
  <c r="B120" i="6"/>
  <c r="B167" i="6"/>
  <c r="B477" i="6"/>
  <c r="B270" i="6"/>
  <c r="B494" i="6"/>
  <c r="B359" i="6"/>
  <c r="B223" i="6"/>
  <c r="B416" i="6"/>
  <c r="B348" i="6"/>
  <c r="K59" i="11"/>
  <c r="B143" i="6"/>
  <c r="B107" i="6"/>
  <c r="B608" i="6"/>
  <c r="B515" i="6"/>
  <c r="B185" i="6"/>
  <c r="B247" i="6"/>
  <c r="B136" i="6"/>
  <c r="B331" i="6"/>
  <c r="B261" i="6"/>
  <c r="B305" i="6"/>
  <c r="B43" i="6"/>
  <c r="B325" i="6"/>
  <c r="B399" i="6"/>
  <c r="B60" i="6"/>
  <c r="B112" i="6"/>
  <c r="B354" i="6"/>
  <c r="B553" i="6"/>
  <c r="B181" i="6"/>
  <c r="B159" i="6"/>
  <c r="B588" i="6"/>
  <c r="B179" i="6"/>
  <c r="B196" i="6"/>
  <c r="B627" i="6"/>
  <c r="B433" i="6"/>
  <c r="B625" i="6"/>
  <c r="B93" i="6"/>
  <c r="B417" i="6"/>
  <c r="B442" i="6"/>
  <c r="B525" i="6"/>
  <c r="B355" i="6"/>
  <c r="B443" i="6"/>
  <c r="B306" i="6"/>
  <c r="B457" i="6"/>
  <c r="B598" i="6"/>
  <c r="B204" i="6"/>
  <c r="B593" i="6"/>
  <c r="B615" i="6"/>
  <c r="B128" i="6"/>
  <c r="B414" i="6"/>
  <c r="B73" i="6"/>
  <c r="B96" i="6"/>
  <c r="B357" i="6"/>
  <c r="B622" i="6"/>
  <c r="B201" i="6"/>
  <c r="B521" i="6"/>
  <c r="B81" i="6"/>
  <c r="B335" i="6"/>
  <c r="B271" i="6"/>
  <c r="B389" i="6"/>
  <c r="B376" i="6"/>
  <c r="B496" i="6"/>
  <c r="B563" i="6"/>
  <c r="B484" i="6"/>
  <c r="B48" i="6"/>
  <c r="B408" i="6"/>
  <c r="B419" i="6"/>
  <c r="B255" i="6"/>
  <c r="B92" i="6"/>
  <c r="B580" i="6"/>
  <c r="B31" i="6"/>
  <c r="B149" i="6"/>
  <c r="B89" i="6"/>
  <c r="B456" i="6"/>
  <c r="B253" i="6"/>
  <c r="B535" i="6"/>
  <c r="B576" i="6"/>
  <c r="B293" i="6"/>
  <c r="B124" i="6"/>
  <c r="B489" i="6"/>
  <c r="B165" i="6"/>
  <c r="B569" i="6"/>
  <c r="B282" i="6"/>
  <c r="B459" i="6"/>
  <c r="B507" i="6"/>
  <c r="B40" i="6"/>
  <c r="B460" i="6"/>
  <c r="B100" i="6"/>
  <c r="B258" i="6"/>
  <c r="B322" i="6"/>
  <c r="B131" i="6"/>
  <c r="B95" i="6"/>
  <c r="B316" i="6"/>
  <c r="B623" i="6"/>
  <c r="B65" i="6"/>
  <c r="B554" i="6"/>
  <c r="B57" i="6"/>
  <c r="B71" i="6"/>
  <c r="B378" i="6"/>
  <c r="B499" i="6"/>
  <c r="B59" i="6"/>
  <c r="B483" i="6"/>
  <c r="B102" i="6"/>
  <c r="B226" i="6"/>
  <c r="B498" i="6"/>
  <c r="B198" i="6"/>
  <c r="B309" i="6"/>
  <c r="B478" i="6"/>
  <c r="F59" i="11"/>
  <c r="B216" i="6"/>
  <c r="B148" i="6"/>
  <c r="B620" i="6"/>
  <c r="B375" i="6"/>
  <c r="B391" i="6"/>
  <c r="B384" i="6"/>
  <c r="B183" i="6"/>
  <c r="B168" i="6"/>
  <c r="B243" i="6"/>
  <c r="B197" i="6"/>
  <c r="B98" i="6"/>
  <c r="B125" i="6"/>
  <c r="B52" i="6"/>
  <c r="B367" i="6"/>
  <c r="B403" i="6"/>
  <c r="B564" i="6"/>
  <c r="F60" i="11"/>
  <c r="B609" i="6"/>
  <c r="B621" i="6"/>
  <c r="B506" i="6"/>
  <c r="B420" i="6"/>
  <c r="B189" i="6"/>
  <c r="B497" i="6"/>
  <c r="B108" i="6"/>
  <c r="B333" i="6"/>
  <c r="B517" i="6"/>
  <c r="B129" i="6"/>
  <c r="B87" i="6"/>
  <c r="B156" i="6"/>
  <c r="B611" i="6"/>
  <c r="B251" i="6"/>
  <c r="B303" i="6"/>
  <c r="B262" i="6"/>
  <c r="B69" i="6"/>
  <c r="B629" i="6"/>
  <c r="B360" i="6"/>
  <c r="B134" i="6"/>
  <c r="B602" i="6"/>
  <c r="B547" i="6"/>
  <c r="B583" i="6"/>
  <c r="B191" i="6"/>
  <c r="B523" i="6"/>
  <c r="B422" i="6"/>
  <c r="B364" i="6"/>
  <c r="B480" i="6"/>
  <c r="B345" i="6"/>
  <c r="B579" i="6"/>
  <c r="B570" i="6"/>
  <c r="B504" i="6"/>
  <c r="B161" i="6"/>
  <c r="B475" i="6"/>
  <c r="B266" i="6"/>
  <c r="B278" i="6"/>
  <c r="B500" i="6"/>
  <c r="B289" i="6"/>
  <c r="B199" i="6"/>
  <c r="B463" i="6"/>
  <c r="B298" i="6"/>
  <c r="B557" i="6"/>
  <c r="B277" i="6"/>
  <c r="B421" i="6"/>
  <c r="B329" i="6"/>
  <c r="B160" i="6"/>
  <c r="B452" i="6"/>
  <c r="B558" i="6"/>
  <c r="B252" i="6"/>
  <c r="B539" i="6"/>
  <c r="B493" i="6"/>
  <c r="B85" i="6"/>
  <c r="B385" i="6"/>
  <c r="B280" i="6"/>
  <c r="B467" i="6"/>
  <c r="B170" i="6"/>
  <c r="B485" i="6"/>
  <c r="B465" i="6"/>
  <c r="B486" i="6"/>
  <c r="B311" i="6"/>
  <c r="B585" i="6"/>
  <c r="B77" i="6"/>
  <c r="B232" i="6"/>
  <c r="B407" i="6"/>
  <c r="B411" i="6"/>
  <c r="B562" i="6"/>
  <c r="B37" i="6"/>
  <c r="B213" i="6"/>
  <c r="B228" i="6"/>
  <c r="B461" i="6"/>
  <c r="B169" i="6"/>
  <c r="B242" i="6"/>
  <c r="B290" i="6"/>
  <c r="B61" i="6"/>
  <c r="B195" i="6"/>
  <c r="B239" i="6"/>
  <c r="B38" i="6"/>
  <c r="B58" i="6"/>
  <c r="B285" i="6"/>
  <c r="B274" i="6"/>
  <c r="B604" i="6"/>
  <c r="B314" i="6"/>
  <c r="B603" i="6"/>
  <c r="B418" i="6"/>
  <c r="B111" i="6"/>
  <c r="B581" i="6"/>
  <c r="C60" i="6" l="1"/>
  <c r="C40" i="6"/>
  <c r="C63" i="6"/>
  <c r="C39" i="6"/>
  <c r="C71" i="6"/>
  <c r="C54" i="6"/>
  <c r="C61" i="6"/>
  <c r="C59" i="6"/>
  <c r="C67" i="6"/>
  <c r="C42" i="6"/>
  <c r="C33" i="6"/>
  <c r="K60" i="11" s="1"/>
  <c r="C50" i="6"/>
  <c r="C62" i="6"/>
  <c r="C45" i="6"/>
  <c r="C47" i="6"/>
  <c r="C46" i="6"/>
  <c r="C56" i="6"/>
  <c r="C43" i="6"/>
  <c r="C69" i="6"/>
  <c r="C65" i="6"/>
  <c r="C58" i="6"/>
  <c r="C66" i="6"/>
  <c r="C55" i="6"/>
  <c r="C34" i="6"/>
  <c r="C37" i="6"/>
  <c r="C44" i="6"/>
  <c r="C57" i="6"/>
  <c r="C38" i="6"/>
  <c r="C68" i="6"/>
  <c r="C52" i="6"/>
  <c r="C51" i="6"/>
  <c r="C41" i="6"/>
  <c r="C70" i="6"/>
  <c r="C64" i="6"/>
  <c r="C48" i="6"/>
  <c r="C49" i="6"/>
  <c r="C53" i="6"/>
  <c r="C35" i="6"/>
  <c r="C36" i="6"/>
</calcChain>
</file>

<file path=xl/comments1.xml><?xml version="1.0" encoding="utf-8"?>
<comments xmlns="http://schemas.openxmlformats.org/spreadsheetml/2006/main">
  <authors>
    <author>Terry Niemeier</author>
  </authors>
  <commentList>
    <comment ref="K74" authorId="0">
      <text>
        <r>
          <rPr>
            <b/>
            <sz val="9"/>
            <color indexed="81"/>
            <rFont val="Tahoma"/>
            <family val="2"/>
          </rPr>
          <t>Terry Niemeier:</t>
        </r>
        <r>
          <rPr>
            <sz val="9"/>
            <color indexed="81"/>
            <rFont val="Tahoma"/>
            <family val="2"/>
          </rPr>
          <t xml:space="preserve">
Soil Model assuming 2 layer</t>
        </r>
      </text>
    </comment>
    <comment ref="L78" authorId="0">
      <text>
        <r>
          <rPr>
            <b/>
            <sz val="9"/>
            <color indexed="81"/>
            <rFont val="Tahoma"/>
            <family val="2"/>
          </rPr>
          <t>Terry Niemeier:</t>
        </r>
        <r>
          <rPr>
            <sz val="9"/>
            <color indexed="81"/>
            <rFont val="Tahoma"/>
            <family val="2"/>
          </rPr>
          <t xml:space="preserve">
Reflection Factor K</t>
        </r>
      </text>
    </comment>
    <comment ref="K79" authorId="0">
      <text>
        <r>
          <rPr>
            <b/>
            <sz val="9"/>
            <color indexed="81"/>
            <rFont val="Tahoma"/>
            <family val="2"/>
          </rPr>
          <t>Terry Niemeier:</t>
        </r>
        <r>
          <rPr>
            <sz val="9"/>
            <color indexed="81"/>
            <rFont val="Tahoma"/>
            <family val="2"/>
          </rPr>
          <t xml:space="preserve">
Can only change h by integer using control, so this is used to allow 0.1 incrementation</t>
        </r>
      </text>
    </comment>
  </commentList>
</comments>
</file>

<file path=xl/comments2.xml><?xml version="1.0" encoding="utf-8"?>
<comments xmlns="http://schemas.openxmlformats.org/spreadsheetml/2006/main">
  <authors>
    <author>Terry Niemeier</author>
  </authors>
  <commentList>
    <comment ref="I31" authorId="0">
      <text>
        <r>
          <rPr>
            <b/>
            <sz val="9"/>
            <color indexed="81"/>
            <rFont val="Tahoma"/>
            <family val="2"/>
          </rPr>
          <t>Terry Niemeier:</t>
        </r>
        <r>
          <rPr>
            <sz val="9"/>
            <color indexed="81"/>
            <rFont val="Tahoma"/>
            <family val="2"/>
          </rPr>
          <t xml:space="preserve">
if depth is &lt;2m then the maximum of the two layers is taken, else the surface layer is used</t>
        </r>
      </text>
    </comment>
  </commentList>
</comments>
</file>

<file path=xl/sharedStrings.xml><?xml version="1.0" encoding="utf-8"?>
<sst xmlns="http://schemas.openxmlformats.org/spreadsheetml/2006/main" count="579" uniqueCount="489">
  <si>
    <t>Location</t>
  </si>
  <si>
    <t>Feeder nominal voltage kV</t>
  </si>
  <si>
    <t>Length "L" of rod/s (m)</t>
  </si>
  <si>
    <t>Number of rods</t>
  </si>
  <si>
    <t>System parameters</t>
  </si>
  <si>
    <t>kV</t>
  </si>
  <si>
    <t>Ωm</t>
  </si>
  <si>
    <t>Designer:</t>
  </si>
  <si>
    <t>Location:</t>
  </si>
  <si>
    <t>Feeder:</t>
  </si>
  <si>
    <t>Rate Voltage:</t>
  </si>
  <si>
    <t>Date:</t>
  </si>
  <si>
    <t xml:space="preserve">Location Type: </t>
  </si>
  <si>
    <t>Equipment Type:</t>
  </si>
  <si>
    <t xml:space="preserve">Fences In Area? </t>
  </si>
  <si>
    <t>Sketch fence location relative to installation</t>
  </si>
  <si>
    <t>Communications Assets In Area?</t>
  </si>
  <si>
    <t>Sketch location of communications assets relative to installation:</t>
  </si>
  <si>
    <t>Any other special constraints in the area?</t>
  </si>
  <si>
    <t>Feeder number</t>
  </si>
  <si>
    <t>Zone Substation</t>
  </si>
  <si>
    <t>Proposed Equipment</t>
  </si>
  <si>
    <t>Location Category</t>
  </si>
  <si>
    <t>Fences near location?</t>
  </si>
  <si>
    <t>Communications assets near location?</t>
  </si>
  <si>
    <t>Work Info</t>
  </si>
  <si>
    <t>Supply</t>
  </si>
  <si>
    <t>Sensitive earth fault protection available?</t>
  </si>
  <si>
    <t>Insulated to depth "h" (m)</t>
  </si>
  <si>
    <t>Protection
Info</t>
  </si>
  <si>
    <t>Earthgrid Details</t>
  </si>
  <si>
    <t>Fault
Clearance</t>
  </si>
  <si>
    <t>SEF Operates?</t>
  </si>
  <si>
    <t>Satisfactory?</t>
  </si>
  <si>
    <t>Note: EPR values will be false until all information is provided</t>
  </si>
  <si>
    <t>EPR at fence:</t>
  </si>
  <si>
    <t>EPR at asset:</t>
  </si>
  <si>
    <t>Single Phase fault level at the location - kA</t>
  </si>
  <si>
    <t>Fault Level (kA)</t>
  </si>
  <si>
    <t>Source Impedance (Ohms)</t>
  </si>
  <si>
    <t>Used to calculate protection clearance time</t>
  </si>
  <si>
    <t>∞</t>
  </si>
  <si>
    <t xml:space="preserve">to </t>
  </si>
  <si>
    <t>Fault Current</t>
  </si>
  <si>
    <t>Clearance Time</t>
  </si>
  <si>
    <t>Clearance time</t>
  </si>
  <si>
    <t>T/F</t>
  </si>
  <si>
    <t>Interpolation</t>
  </si>
  <si>
    <t>Uses voltage factor c = 0.9</t>
  </si>
  <si>
    <t>Uses voltage factor c = 1.1 as per AS3851</t>
  </si>
  <si>
    <t>Other</t>
  </si>
  <si>
    <t>Equipment List</t>
  </si>
  <si>
    <t>Padmount Substation</t>
  </si>
  <si>
    <t>Auto-Recloser</t>
  </si>
  <si>
    <t>Load Break Switch</t>
  </si>
  <si>
    <t>Other:</t>
  </si>
  <si>
    <t>No</t>
  </si>
  <si>
    <t>Earthing Design - Field Checksheet</t>
  </si>
  <si>
    <t>Normal / Remote / Special</t>
  </si>
  <si>
    <t>Switching Station</t>
  </si>
  <si>
    <t>Argon Used?</t>
  </si>
  <si>
    <t>Radius "r" of rod/s (mm)</t>
  </si>
  <si>
    <t xml:space="preserve">Added help file and fixed confusing units </t>
  </si>
  <si>
    <t>Fixed calculation method for h&lt;0.5 to a per rod method</t>
  </si>
  <si>
    <t>PROJECT NO.</t>
  </si>
  <si>
    <t>DATE</t>
  </si>
  <si>
    <t>TIME</t>
  </si>
  <si>
    <t>SOIL TYPE</t>
  </si>
  <si>
    <t>SOIL CONDITION</t>
  </si>
  <si>
    <t>ELECTRODE SPACING (m)</t>
  </si>
  <si>
    <t>Soil Resistivity Calculator</t>
  </si>
  <si>
    <t>Soil Model</t>
  </si>
  <si>
    <t>p1</t>
  </si>
  <si>
    <t>p2</t>
  </si>
  <si>
    <t>s</t>
  </si>
  <si>
    <t>pa(s)</t>
  </si>
  <si>
    <t>K</t>
  </si>
  <si>
    <t>Layer</t>
  </si>
  <si>
    <t>Infinity</t>
  </si>
  <si>
    <t>Depth (m) - h</t>
  </si>
  <si>
    <t>Z_Source</t>
  </si>
  <si>
    <t>Ohms</t>
  </si>
  <si>
    <t>HV grid</t>
  </si>
  <si>
    <t>Voltage</t>
  </si>
  <si>
    <t>EPR</t>
  </si>
  <si>
    <t>V</t>
  </si>
  <si>
    <t>LV grid</t>
  </si>
  <si>
    <t>MEN</t>
  </si>
  <si>
    <t>Current</t>
  </si>
  <si>
    <t>Protection Current</t>
  </si>
  <si>
    <t>Amps</t>
  </si>
  <si>
    <t>Common/Separate?</t>
  </si>
  <si>
    <t>Metallic pipelines near location?</t>
  </si>
  <si>
    <t>Metallic return to source?</t>
  </si>
  <si>
    <t>Design</t>
  </si>
  <si>
    <t>HV Earth Grid</t>
  </si>
  <si>
    <t>LV Earth Grid</t>
  </si>
  <si>
    <t>HV</t>
  </si>
  <si>
    <t>MEN Details</t>
  </si>
  <si>
    <t>Number of connected Customers</t>
  </si>
  <si>
    <t>MEN Impedance</t>
  </si>
  <si>
    <t>Earthing Configuration</t>
  </si>
  <si>
    <t>Number of Customers</t>
  </si>
  <si>
    <t>Total MEN resistance (Ohms)</t>
  </si>
  <si>
    <t>HV Earth grid resistance (Ohms)</t>
  </si>
  <si>
    <t>LV Earth grid resistance (Ohms)</t>
  </si>
  <si>
    <t>Max EPR (V)</t>
  </si>
  <si>
    <t>Maximum fault current through MEN (A)</t>
  </si>
  <si>
    <t>UGOH</t>
  </si>
  <si>
    <t>Regulator</t>
  </si>
  <si>
    <t>Metallic Return Current</t>
  </si>
  <si>
    <t>Rho</t>
  </si>
  <si>
    <t>Applicable Soil Res</t>
  </si>
  <si>
    <t>TDMEN Limit</t>
  </si>
  <si>
    <t>Clearing Time</t>
  </si>
  <si>
    <t>Results</t>
  </si>
  <si>
    <t>Distance to 430V Contour (m)</t>
  </si>
  <si>
    <t>MEN limit (V)</t>
  </si>
  <si>
    <t>Backyard (V)</t>
  </si>
  <si>
    <t>Max Step Voltage (V)</t>
  </si>
  <si>
    <t>MEN Voltage Limit</t>
  </si>
  <si>
    <t>Volts</t>
  </si>
  <si>
    <t>EPR below limit?</t>
  </si>
  <si>
    <t>HV - LV separation</t>
  </si>
  <si>
    <t>metres</t>
  </si>
  <si>
    <t>SI</t>
  </si>
  <si>
    <t>VI</t>
  </si>
  <si>
    <t>Default Protection settings</t>
  </si>
  <si>
    <t>User input settings</t>
  </si>
  <si>
    <t>Pickup</t>
  </si>
  <si>
    <t>Time Lever</t>
  </si>
  <si>
    <t>EI</t>
  </si>
  <si>
    <t>Time</t>
  </si>
  <si>
    <t>Asphalt</t>
  </si>
  <si>
    <t>Backyard Limit</t>
  </si>
  <si>
    <t>User Defined Criteria (V)</t>
  </si>
  <si>
    <t>User Defined Criteria note:</t>
  </si>
  <si>
    <t>HV - LV Fault current</t>
  </si>
  <si>
    <t>LV resistance in (Ω)</t>
  </si>
  <si>
    <t>Maximum fault current in metallic return</t>
  </si>
  <si>
    <t>Max fault current into earth</t>
  </si>
  <si>
    <t>Model</t>
  </si>
  <si>
    <t>Total</t>
  </si>
  <si>
    <t>RMS Error</t>
  </si>
  <si>
    <t>Error(%)^2</t>
  </si>
  <si>
    <t xml:space="preserve">Soil resistivity </t>
  </si>
  <si>
    <t>ρ1</t>
  </si>
  <si>
    <t>ρ2</t>
  </si>
  <si>
    <t>Depth</t>
  </si>
  <si>
    <t>Soil resistivity</t>
  </si>
  <si>
    <t>Clearing time</t>
  </si>
  <si>
    <t>Fuse Rating:</t>
  </si>
  <si>
    <t>Applicable soil resistivity</t>
  </si>
  <si>
    <t>MEN input numbers (n)</t>
  </si>
  <si>
    <t>F Factor</t>
  </si>
  <si>
    <t>Input No.</t>
  </si>
  <si>
    <t>METER MODEL</t>
  </si>
  <si>
    <t>METER SERIAL NO.</t>
  </si>
  <si>
    <t>Project Number</t>
  </si>
  <si>
    <t>Designed by:</t>
  </si>
  <si>
    <t>Parallel Electrodes</t>
  </si>
  <si>
    <t>2067 Figures Scaled</t>
  </si>
  <si>
    <t>EE's MEN Model</t>
  </si>
  <si>
    <t>Error(%)</t>
  </si>
  <si>
    <t>Head Room (%)</t>
  </si>
  <si>
    <t>EF Settings Used</t>
  </si>
  <si>
    <t>Asssumed percentage of fault current in metallic return (CMEN)</t>
  </si>
  <si>
    <t>LV || MEN combined earthing (Ohms)</t>
  </si>
  <si>
    <t>Applicable Impedance to ground (Ohms)</t>
  </si>
  <si>
    <t>Max total fault current</t>
  </si>
  <si>
    <t>Metallic return impedance</t>
  </si>
  <si>
    <t>Maximum fault current through soil  (A)</t>
  </si>
  <si>
    <t>Max Loop impedance (protection) (Ohms)</t>
  </si>
  <si>
    <t>Effective Local Resistance (Ohms)</t>
  </si>
  <si>
    <t>config</t>
  </si>
  <si>
    <t>metallic return</t>
  </si>
  <si>
    <t>Maximum fault current through HV earth grid (A)</t>
  </si>
  <si>
    <t>Maximum fault current through effective local earth (A)</t>
  </si>
  <si>
    <t>LV with MEN (Ω)</t>
  </si>
  <si>
    <t>substation</t>
  </si>
  <si>
    <t>sub requirements</t>
  </si>
  <si>
    <t>Albion Park</t>
  </si>
  <si>
    <t>Ambarvale</t>
  </si>
  <si>
    <t>Anzac Village</t>
  </si>
  <si>
    <t>Appin</t>
  </si>
  <si>
    <t>Baulkham Hills</t>
  </si>
  <si>
    <t>Bella Vista</t>
  </si>
  <si>
    <t>Berrima Junction</t>
  </si>
  <si>
    <t>Berry</t>
  </si>
  <si>
    <t>Blackheath</t>
  </si>
  <si>
    <t>Blackmans Flat</t>
  </si>
  <si>
    <t>Blaxland</t>
  </si>
  <si>
    <t>Bolong</t>
  </si>
  <si>
    <t>Bomaderry</t>
  </si>
  <si>
    <t>Bonnyrigg</t>
  </si>
  <si>
    <t xml:space="preserve">Bossley Park </t>
  </si>
  <si>
    <t>Bow Bowing</t>
  </si>
  <si>
    <t>Bowral</t>
  </si>
  <si>
    <t>Bringelly</t>
  </si>
  <si>
    <t>Bulli</t>
  </si>
  <si>
    <t>Bylong</t>
  </si>
  <si>
    <t>Cabramatta</t>
  </si>
  <si>
    <t>Cambridge Park</t>
  </si>
  <si>
    <t>Campbelltown</t>
  </si>
  <si>
    <t>Canley Vale</t>
  </si>
  <si>
    <t>Carramar</t>
  </si>
  <si>
    <t>Castle Hill</t>
  </si>
  <si>
    <t>Cattai</t>
  </si>
  <si>
    <t>Corrimal</t>
  </si>
  <si>
    <t>Cranebrook</t>
  </si>
  <si>
    <t>Culburra</t>
  </si>
  <si>
    <t>Dapto</t>
  </si>
  <si>
    <t>Darkes Forest</t>
  </si>
  <si>
    <t>Doonside</t>
  </si>
  <si>
    <t>Dundas</t>
  </si>
  <si>
    <t>Eastern Creek</t>
  </si>
  <si>
    <t>Emu Plains</t>
  </si>
  <si>
    <t>Gerringong</t>
  </si>
  <si>
    <t>Glenmore Park</t>
  </si>
  <si>
    <t>Glossodia</t>
  </si>
  <si>
    <t>Granville</t>
  </si>
  <si>
    <t>Greystanes</t>
  </si>
  <si>
    <t>Hartley Vale</t>
  </si>
  <si>
    <t>Hazelbrook</t>
  </si>
  <si>
    <t>Helensburgh</t>
  </si>
  <si>
    <t>Hinchinbrook</t>
  </si>
  <si>
    <t>Holroyd</t>
  </si>
  <si>
    <t>Homepride</t>
  </si>
  <si>
    <t>Horsley Park</t>
  </si>
  <si>
    <t>Huskisson</t>
  </si>
  <si>
    <t>Ilford Hall</t>
  </si>
  <si>
    <t>Inner Harbour</t>
  </si>
  <si>
    <t>Jamberoo</t>
  </si>
  <si>
    <t>Jasper Road</t>
  </si>
  <si>
    <t>Kandos</t>
  </si>
  <si>
    <t>Kangaroo Valley</t>
  </si>
  <si>
    <t>Katoomba</t>
  </si>
  <si>
    <t>Kellyville</t>
  </si>
  <si>
    <t>Kembla Grange</t>
  </si>
  <si>
    <t>Kemps Creek</t>
  </si>
  <si>
    <t>Kenny Street</t>
  </si>
  <si>
    <t>Kenthurst</t>
  </si>
  <si>
    <t>Kentlyn</t>
  </si>
  <si>
    <t>Kiama</t>
  </si>
  <si>
    <t>Kingswood</t>
  </si>
  <si>
    <t>Kurrajong</t>
  </si>
  <si>
    <t>Leabons Lane</t>
  </si>
  <si>
    <t>Lennox</t>
  </si>
  <si>
    <t>Lithgow</t>
  </si>
  <si>
    <t>Liverpool</t>
  </si>
  <si>
    <t>Luddenham</t>
  </si>
  <si>
    <t>Macquarie Fields</t>
  </si>
  <si>
    <t>Maldon</t>
  </si>
  <si>
    <t>Mamre</t>
  </si>
  <si>
    <t>Marayong</t>
  </si>
  <si>
    <t>Minto</t>
  </si>
  <si>
    <t>Mittagong</t>
  </si>
  <si>
    <t>Moorebank</t>
  </si>
  <si>
    <t>Moss Vale</t>
  </si>
  <si>
    <t>Mount Ousley</t>
  </si>
  <si>
    <t>Mungerie Park</t>
  </si>
  <si>
    <t>Narellan</t>
  </si>
  <si>
    <t>Newton</t>
  </si>
  <si>
    <t>North Richmond</t>
  </si>
  <si>
    <t>North Rocks</t>
  </si>
  <si>
    <t>North Warragamba</t>
  </si>
  <si>
    <t>North Wollongong</t>
  </si>
  <si>
    <t>Northmead</t>
  </si>
  <si>
    <t>Nowra</t>
  </si>
  <si>
    <t>Oakdale</t>
  </si>
  <si>
    <t>Oran Park</t>
  </si>
  <si>
    <t>Parklea</t>
  </si>
  <si>
    <t>Parramatta</t>
  </si>
  <si>
    <t>Penrith</t>
  </si>
  <si>
    <t>Plumpton</t>
  </si>
  <si>
    <t>Port Central</t>
  </si>
  <si>
    <t>Port Kembla</t>
  </si>
  <si>
    <t>Portland</t>
  </si>
  <si>
    <t>Prestons</t>
  </si>
  <si>
    <t>Prospect</t>
  </si>
  <si>
    <t>Quakers Hill</t>
  </si>
  <si>
    <t>Quarries</t>
  </si>
  <si>
    <t>Richmond</t>
  </si>
  <si>
    <t>Ringwood</t>
  </si>
  <si>
    <t>Riverstone</t>
  </si>
  <si>
    <t>Robertson</t>
  </si>
  <si>
    <t>Rooty Hill</t>
  </si>
  <si>
    <t>Rosehill</t>
  </si>
  <si>
    <t>Russell Vale</t>
  </si>
  <si>
    <t>Rydalmere</t>
  </si>
  <si>
    <t>Seven Hills</t>
  </si>
  <si>
    <t>Shellharbour</t>
  </si>
  <si>
    <t>Sherwood</t>
  </si>
  <si>
    <t>Smithfield</t>
  </si>
  <si>
    <t>South Granville</t>
  </si>
  <si>
    <t>South Nowra</t>
  </si>
  <si>
    <t>South Windsor</t>
  </si>
  <si>
    <t>South Wollongong</t>
  </si>
  <si>
    <t>Springwood</t>
  </si>
  <si>
    <t>St Marys</t>
  </si>
  <si>
    <t>Sussex Inlet</t>
  </si>
  <si>
    <t>Tahmoor</t>
  </si>
  <si>
    <t>Ulladulla</t>
  </si>
  <si>
    <t>Unanderra</t>
  </si>
  <si>
    <t>Warilla</t>
  </si>
  <si>
    <t>Wentworth Falls</t>
  </si>
  <si>
    <t>Werrington</t>
  </si>
  <si>
    <t>West Castle Hill</t>
  </si>
  <si>
    <t>West Liverpool</t>
  </si>
  <si>
    <t>West Pennant Hills</t>
  </si>
  <si>
    <t>West Wetherill Park</t>
  </si>
  <si>
    <t>West Wollongong</t>
  </si>
  <si>
    <t>Westmead</t>
  </si>
  <si>
    <t>Whalan</t>
  </si>
  <si>
    <t>Windsor</t>
  </si>
  <si>
    <t>Wisemans</t>
  </si>
  <si>
    <t>Wombarra</t>
  </si>
  <si>
    <t>Woodpark</t>
  </si>
  <si>
    <t>Yatte Yattah</t>
  </si>
  <si>
    <t>Yennora</t>
  </si>
  <si>
    <t>other</t>
  </si>
  <si>
    <t>Pole Mounted Substation</t>
  </si>
  <si>
    <t>Fuses</t>
  </si>
  <si>
    <t>MEN Type</t>
  </si>
  <si>
    <t>Constraints</t>
  </si>
  <si>
    <t>Soil Structure</t>
  </si>
  <si>
    <t>Company</t>
  </si>
  <si>
    <t>Voltage Profile</t>
  </si>
  <si>
    <t>Step and Touch</t>
  </si>
  <si>
    <t>Earth rod details:</t>
  </si>
  <si>
    <t>Apparent Soil Res (Ohm.m) (Eqn 7-7 EG-1)</t>
  </si>
  <si>
    <t>Radius "r" of rod/s (m)</t>
  </si>
  <si>
    <t>Single rod resistance</t>
  </si>
  <si>
    <t>Multiplying factor for N rods</t>
  </si>
  <si>
    <t xml:space="preserve">Combined resistance </t>
  </si>
  <si>
    <t>LV</t>
  </si>
  <si>
    <t xml:space="preserve">Combined LV resistance </t>
  </si>
  <si>
    <t>Distance to MEN limit (m)</t>
  </si>
  <si>
    <t>AQ12 limiy</t>
  </si>
  <si>
    <t>School Limit</t>
  </si>
  <si>
    <t>Minimum Fault Current</t>
  </si>
  <si>
    <t>Maximum Fault Current</t>
  </si>
  <si>
    <t>IEF Setting</t>
  </si>
  <si>
    <t>EF Pickup (A)</t>
  </si>
  <si>
    <t>Max t (If min)</t>
  </si>
  <si>
    <t>Min t (If max)</t>
  </si>
  <si>
    <t xml:space="preserve"> </t>
  </si>
  <si>
    <t>Aquatic Centre (V)</t>
  </si>
  <si>
    <t>Ratings</t>
  </si>
  <si>
    <t>95mm2 Aluminium</t>
  </si>
  <si>
    <t>70mm2 Copper</t>
  </si>
  <si>
    <t>50mm2 AAAC XLPE</t>
  </si>
  <si>
    <t>Touch Voltage to asset(V)</t>
  </si>
  <si>
    <t>Overhall of sheet to meet requirements of EDI100</t>
  </si>
  <si>
    <t>Rev</t>
  </si>
  <si>
    <t xml:space="preserve">1) Enter data in orange coloured fields 
</t>
  </si>
  <si>
    <t>Metallic MEN connected infrastructure near location?</t>
  </si>
  <si>
    <t>Urban</t>
  </si>
  <si>
    <t>Urban (V)</t>
  </si>
  <si>
    <t>DBZS/CMEN?</t>
  </si>
  <si>
    <t>Urban Step Voltage</t>
  </si>
  <si>
    <t>Backyard Step Voltage</t>
  </si>
  <si>
    <r>
      <t>MEN Impedance (</t>
    </r>
    <r>
      <rPr>
        <sz val="11"/>
        <rFont val="Calibri"/>
        <family val="2"/>
      </rPr>
      <t>Ω)</t>
    </r>
  </si>
  <si>
    <t>Insulated conductor depth "h" (m)</t>
  </si>
  <si>
    <t>Length of bare "L" rod/s (m)</t>
  </si>
  <si>
    <t>Min HV/LV electrode separation</t>
  </si>
  <si>
    <t>SOIL RESISTIVITY (Ω.m)</t>
  </si>
  <si>
    <t>TEST LOCATION</t>
  </si>
  <si>
    <t>TEST APPLIED 1 (Ω)</t>
  </si>
  <si>
    <t>TEST APPLIED 2 (Ω)</t>
  </si>
  <si>
    <t>TEST APPLIED 3 (Ω)</t>
  </si>
  <si>
    <t>AVERAGE (Ω)</t>
  </si>
  <si>
    <t xml:space="preserve"> Maximum allowable voltage limits</t>
  </si>
  <si>
    <t>Conductive Pole?</t>
  </si>
  <si>
    <t>Neutral bond to 1 other DS?</t>
  </si>
  <si>
    <t>Distance to Urban limit (m)</t>
  </si>
  <si>
    <t>Distance to Backyard limit (m)</t>
  </si>
  <si>
    <t>• Added user sef pick up
• Clearer indication of pass or fail for common earthed designs
• Update terminology
• Change soil res to require minimum values
• Changed soil res to drop down selections
• Fixed LV rod issue
• Show required LV/HV electrode separation (requires No. of connected MEN to be entered for Common or Seperately earthed designs)</t>
  </si>
  <si>
    <t>Single metallic object 
(touch voltage)</t>
  </si>
  <si>
    <t>Touch voltage at asset:</t>
  </si>
  <si>
    <t>Distance to asset (m):</t>
  </si>
  <si>
    <t>Dense Urban</t>
  </si>
  <si>
    <t>Checks for common</t>
  </si>
  <si>
    <t>Checks for separate</t>
  </si>
  <si>
    <t>2.2a-b</t>
  </si>
  <si>
    <t>LONGITUDE OF TEST</t>
  </si>
  <si>
    <t>TEMPERATURE (⁰C)</t>
  </si>
  <si>
    <t>Resistivity (Ω.m)</t>
  </si>
  <si>
    <t xml:space="preserve">LATITUDE OF TEST </t>
  </si>
  <si>
    <t xml:space="preserve">                          3E - Earthing Design Tool </t>
  </si>
  <si>
    <t>Backyard Step Voltage (V)</t>
  </si>
  <si>
    <t>Urban Step Voltage(V)</t>
  </si>
  <si>
    <t>Combined HV rod resistance (Ω)</t>
  </si>
  <si>
    <t>Revision History</t>
  </si>
  <si>
    <t>• Ticks removed (side bar shows common earth status)
• Side bar shows status of design and if the sheet has been filled
• Locked soil res calculator to require valid input, otherwise sheet wont work
• Update LV/HV separation to give minimum of 4m even if distance to MEN is 0m
• Update to formatting so sheet can be printed
• Design will show if it is seperately or common earthed
• Update to protection to cater for instantaneous protection settings</t>
  </si>
  <si>
    <t>Checks for separate (LBS+Recloser)</t>
  </si>
  <si>
    <t>Tomerong</t>
  </si>
  <si>
    <t>2.3a</t>
  </si>
  <si>
    <t>Design notes:</t>
  </si>
  <si>
    <t xml:space="preserve">• Project field was locked (now unlocked)
• Latitude/Longitude field formatting fixed
• Issues with "DESIGN INCOMPLETE" rectifed
• Isssue with blank protection values fixed
• Notes field added
</t>
  </si>
  <si>
    <t>Depth (m)</t>
  </si>
  <si>
    <t>Edmonson Park</t>
  </si>
  <si>
    <t>Abbotsbury</t>
  </si>
  <si>
    <t>Arndell Park</t>
  </si>
  <si>
    <t>Casula</t>
  </si>
  <si>
    <t>Cawdor</t>
  </si>
  <si>
    <t>Cheriton Avenue</t>
  </si>
  <si>
    <t>Chipping Norton</t>
  </si>
  <si>
    <t>Claremont Meadows</t>
  </si>
  <si>
    <t>East Richmond</t>
  </si>
  <si>
    <t>Erskine Park</t>
  </si>
  <si>
    <t>Fairfield</t>
  </si>
  <si>
    <t>Figtree</t>
  </si>
  <si>
    <t>Glenorie</t>
  </si>
  <si>
    <t>Hoxton Park</t>
  </si>
  <si>
    <t>Huntingwood</t>
  </si>
  <si>
    <t>Jordan Springs</t>
  </si>
  <si>
    <t>Meadow flat</t>
  </si>
  <si>
    <t>Nepean</t>
  </si>
  <si>
    <t>North Eastern Creek</t>
  </si>
  <si>
    <t>North Parramatta</t>
  </si>
  <si>
    <t>Schofields</t>
  </si>
  <si>
    <t>South Leppington</t>
  </si>
  <si>
    <t>The Oaks</t>
  </si>
  <si>
    <t>West Parramatta</t>
  </si>
  <si>
    <t>Wetherill Park</t>
  </si>
  <si>
    <t>Wilton</t>
  </si>
  <si>
    <t>SEF Pickup (A)</t>
  </si>
  <si>
    <t>EPR Limit (Common earthed)</t>
  </si>
  <si>
    <t>2.3b</t>
  </si>
  <si>
    <t xml:space="preserve">• Updated LV/HV to accommodate HV &amp; LV electrode length when customers &gt; 4
• Issue with single rod resistance and insulated layer fixed
</t>
  </si>
  <si>
    <t>Yes</t>
  </si>
  <si>
    <t xml:space="preserve">Hi-set (Y/N) </t>
  </si>
  <si>
    <t>Hi-set (A)</t>
  </si>
  <si>
    <t>IEC Time Lever</t>
  </si>
  <si>
    <t>Hi-set Operate Time (s)</t>
  </si>
  <si>
    <t>Time Margin (s)</t>
  </si>
  <si>
    <t>Time Margin (Y/N)</t>
  </si>
  <si>
    <t>Areva SI</t>
  </si>
  <si>
    <t>Areva VI</t>
  </si>
  <si>
    <t>Areva EI</t>
  </si>
  <si>
    <t>Basler SI</t>
  </si>
  <si>
    <t>Basler VI</t>
  </si>
  <si>
    <t>Basler EI</t>
  </si>
  <si>
    <t>GE SI</t>
  </si>
  <si>
    <t>GE VI</t>
  </si>
  <si>
    <t>GE EI</t>
  </si>
  <si>
    <t>NOJA SI</t>
  </si>
  <si>
    <t>NOJA VI</t>
  </si>
  <si>
    <t>NOJA EI</t>
  </si>
  <si>
    <t>NULEC SI</t>
  </si>
  <si>
    <t>NULEC VI</t>
  </si>
  <si>
    <t>NULEC EI</t>
  </si>
  <si>
    <t>SEL SI</t>
  </si>
  <si>
    <t>SEL VI</t>
  </si>
  <si>
    <t>SEL EI</t>
  </si>
  <si>
    <t>NOJA ANSI STI</t>
  </si>
  <si>
    <t>IEC SI</t>
  </si>
  <si>
    <t>IEC VI</t>
  </si>
  <si>
    <t>IEC EI</t>
  </si>
  <si>
    <t>Basler CO-2</t>
  </si>
  <si>
    <t>Basler CO-6</t>
  </si>
  <si>
    <t>Basler CO-7</t>
  </si>
  <si>
    <t>Basler CO-8</t>
  </si>
  <si>
    <t>Basler CO-9</t>
  </si>
  <si>
    <t>Relay</t>
  </si>
  <si>
    <t>Protection Curve</t>
  </si>
  <si>
    <t>CDG31 3 sec</t>
  </si>
  <si>
    <t>CDG33 1.55 sec</t>
  </si>
  <si>
    <t>2.5 
(Version 2.4 was not released)</t>
  </si>
  <si>
    <t>EF Clearing Time (s)</t>
  </si>
  <si>
    <t>Total fault current seen by protection (A)</t>
  </si>
  <si>
    <t>ALARP DESIGN</t>
  </si>
  <si>
    <t>Are the risk controls implemented reasonable in relation to industry practice; and
Have you identified all reasonable additional controls in the form of risk reduction measures?</t>
  </si>
  <si>
    <t>Comments: (if applicable)</t>
  </si>
  <si>
    <t>SEF (User)</t>
  </si>
  <si>
    <t>HV Fuse Trip Time</t>
  </si>
  <si>
    <t>Have you considered moving the asset to reduce/remove the risk by placement of the asset or use of alternative material?</t>
  </si>
  <si>
    <t>For additional information please refer to:
EDI 001 - 5.2.2
EDI 001 - 5.2.4
EDI 100 - Annexure 11</t>
  </si>
  <si>
    <t>Minimum current seen by SEF (A)</t>
  </si>
  <si>
    <t xml:space="preserve">• Update to protection calculations to allow for IEC 60255 trip time calculations
• Enforcement of GPS location for soil resistivity location
• Ability to store soil resistivity readings taken by Endeavour Energy Staff (for comparison)
• View location of soil test in google maps
• Version check on main sheet for Endeavour Energy Staff
• Update to protection input to allow for advance input and additional relays
• Update Backyard scenario to match EDI0001 and EG(0)
• Update calculations using Max and Min fault current
• ALARP Design sheet and check added
</t>
  </si>
  <si>
    <t>Min fault current seen by protection (Amps)</t>
  </si>
  <si>
    <t>Min Loop impedance total (hazards)</t>
  </si>
  <si>
    <t>Added metallicreturn calculations to main page</t>
  </si>
  <si>
    <r>
      <t>Commissioning Check (</t>
    </r>
    <r>
      <rPr>
        <sz val="11"/>
        <rFont val="Calibri"/>
        <family val="2"/>
      </rPr>
      <t>Ω</t>
    </r>
    <r>
      <rPr>
        <sz val="9.35"/>
        <rFont val="Calibri"/>
        <family val="2"/>
      </rPr>
      <t>)</t>
    </r>
  </si>
  <si>
    <t>Sheet Version: 2.6 May 2017</t>
  </si>
  <si>
    <t>EPR (V)</t>
  </si>
  <si>
    <t xml:space="preserve">• Enforcement of two soil resistivity test results with at least 20m spacings entered
• Updated check CMEN warning
• Addition of validating design with actual commissioning test results
• Updated GPR to EPR to reflect Australian industry terminology
• Removal of School limit as this should be assessed on a case by case scenario by the designer
• Fix bug in DOF clearing time for 3A, 20A and 40A
</t>
  </si>
  <si>
    <t>Online Version: 2.6 May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</si>
</sst>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3" formatCode="_-* #,##0.00_-;\-* #,##0.00_-;_-* &quot;-&quot;??_-;_-@_-"/>
    <numFmt numFmtId="164" formatCode="0.0000"/>
    <numFmt numFmtId="165" formatCode="0.000"/>
    <numFmt numFmtId="166" formatCode="0.000000"/>
    <numFmt numFmtId="167" formatCode="0.0"/>
    <numFmt numFmtId="168" formatCode="#\ \V"/>
    <numFmt numFmtId="169" formatCode="&quot;(&quot;#\ &quot;ms)&quot;"/>
    <numFmt numFmtId="170" formatCode="0.00;[Red]0.00"/>
    <numFmt numFmtId="171" formatCode="0.00000"/>
    <numFmt numFmtId="172" formatCode="0.000000000"/>
    <numFmt numFmtId="173" formatCode="0.0000000"/>
    <numFmt numFmtId="174" formatCode="d/m/yyyy;@"/>
  </numFmts>
  <fonts count="8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8"/>
      <name val="Arial"/>
      <family val="2"/>
    </font>
    <font>
      <b/>
      <sz val="11"/>
      <name val="Calibri"/>
      <family val="2"/>
    </font>
    <font>
      <sz val="10"/>
      <name val="Calibri"/>
      <family val="2"/>
    </font>
    <font>
      <sz val="18"/>
      <name val="Calibri"/>
      <family val="2"/>
    </font>
    <font>
      <sz val="12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10"/>
      <color theme="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Wingdings"/>
      <charset val="2"/>
    </font>
    <font>
      <b/>
      <sz val="11"/>
      <color rgb="FF000000"/>
      <name val="Calibri"/>
      <family val="2"/>
    </font>
    <font>
      <sz val="11"/>
      <color theme="4" tint="0.59999389629810485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rgb="FF00B050"/>
      <name val="Wingdings"/>
      <charset val="2"/>
    </font>
    <font>
      <sz val="10"/>
      <color rgb="FFFF0000"/>
      <name val="Arial"/>
      <family val="2"/>
    </font>
    <font>
      <sz val="10"/>
      <color theme="0" tint="-0.34998626667073579"/>
      <name val="Arial"/>
      <family val="2"/>
    </font>
    <font>
      <sz val="24"/>
      <name val="Calibri"/>
      <family val="2"/>
      <scheme val="minor"/>
    </font>
    <font>
      <b/>
      <sz val="36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6" tint="0.59999389629810485"/>
      <name val="Calibri"/>
      <family val="2"/>
      <scheme val="minor"/>
    </font>
    <font>
      <b/>
      <sz val="28"/>
      <color rgb="FF000000"/>
      <name val="Calibri"/>
      <family val="2"/>
    </font>
    <font>
      <b/>
      <sz val="14"/>
      <color rgb="FFFF0000"/>
      <name val="Calibri"/>
      <family val="2"/>
      <scheme val="minor"/>
    </font>
    <font>
      <b/>
      <sz val="24"/>
      <color rgb="FF5E6A71"/>
      <name val="Calibri"/>
      <family val="2"/>
      <scheme val="minor"/>
    </font>
    <font>
      <b/>
      <sz val="16"/>
      <color rgb="FF5E6A7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b/>
      <sz val="18"/>
      <color rgb="FF5E6A71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24"/>
      <color theme="1"/>
      <name val="Calibri"/>
      <family val="2"/>
    </font>
    <font>
      <sz val="11"/>
      <color theme="0"/>
      <name val="Calibri"/>
      <family val="2"/>
    </font>
    <font>
      <b/>
      <sz val="10"/>
      <color theme="0"/>
      <name val="Arial"/>
      <family val="2"/>
    </font>
    <font>
      <sz val="10"/>
      <color rgb="FF0094B3"/>
      <name val="Calibri"/>
      <family val="2"/>
    </font>
    <font>
      <sz val="10"/>
      <color rgb="FFFCEFCC"/>
      <name val="Calibri"/>
      <family val="2"/>
    </font>
    <font>
      <b/>
      <sz val="10"/>
      <color theme="1"/>
      <name val="Calibri"/>
      <family val="2"/>
    </font>
    <font>
      <b/>
      <sz val="10"/>
      <name val="Calibri"/>
      <family val="2"/>
    </font>
    <font>
      <b/>
      <sz val="10"/>
      <color rgb="FF0094B3"/>
      <name val="Calibri"/>
      <family val="2"/>
    </font>
    <font>
      <b/>
      <sz val="10"/>
      <color rgb="FFFFFF00"/>
      <name val="Calibri"/>
      <family val="2"/>
    </font>
    <font>
      <sz val="10"/>
      <color rgb="FFFFFF00"/>
      <name val="Calibri"/>
      <family val="2"/>
    </font>
    <font>
      <b/>
      <sz val="10"/>
      <color rgb="FFFCEFCC"/>
      <name val="Calibri"/>
      <family val="2"/>
    </font>
    <font>
      <sz val="9.35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7" tint="0.59999389629810485"/>
        <bgColor indexed="64"/>
      </patternFill>
    </fill>
    <fill>
      <gradientFill>
        <stop position="0">
          <color theme="0"/>
        </stop>
        <stop position="1">
          <color theme="4" tint="0.59999389629810485"/>
        </stop>
      </gradientFill>
    </fill>
    <fill>
      <patternFill patternType="solid">
        <fgColor rgb="FF92D05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8D77F"/>
        <bgColor indexed="64"/>
      </patternFill>
    </fill>
    <fill>
      <patternFill patternType="solid">
        <fgColor rgb="FFCEDDD7"/>
        <bgColor indexed="64"/>
      </patternFill>
    </fill>
    <fill>
      <patternFill patternType="solid">
        <fgColor rgb="FF7FC9D9"/>
        <bgColor indexed="64"/>
      </patternFill>
    </fill>
    <fill>
      <patternFill patternType="solid">
        <fgColor rgb="FFDFE1E3"/>
        <bgColor indexed="64"/>
      </patternFill>
    </fill>
    <fill>
      <patternFill patternType="solid">
        <fgColor rgb="FFFCEFCC"/>
        <bgColor indexed="64"/>
      </patternFill>
    </fill>
  </fills>
  <borders count="1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6A6A6"/>
      </left>
      <right style="medium">
        <color rgb="FFA6A6A6"/>
      </right>
      <top/>
      <bottom style="medium">
        <color rgb="FFA6A6A6"/>
      </bottom>
      <diagonal/>
    </border>
    <border>
      <left style="medium">
        <color rgb="FFA6A6A6"/>
      </left>
      <right/>
      <top style="medium">
        <color rgb="FFA6A6A6"/>
      </top>
      <bottom style="medium">
        <color rgb="FFA6A6A6"/>
      </bottom>
      <diagonal/>
    </border>
    <border>
      <left style="medium">
        <color indexed="64"/>
      </left>
      <right/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rgb="FFFFC000"/>
      </left>
      <right/>
      <top style="medium">
        <color rgb="FFFFC000"/>
      </top>
      <bottom style="medium">
        <color rgb="FFFFC000"/>
      </bottom>
      <diagonal/>
    </border>
    <border>
      <left/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FFC000"/>
      </left>
      <right style="medium">
        <color rgb="FFFFC000"/>
      </right>
      <top style="medium">
        <color rgb="FFFFC000"/>
      </top>
      <bottom style="medium">
        <color rgb="FFFFC000"/>
      </bottom>
      <diagonal/>
    </border>
    <border>
      <left style="medium">
        <color rgb="FF3F3F3F"/>
      </left>
      <right style="medium">
        <color rgb="FF3F3F3F"/>
      </right>
      <top style="medium">
        <color rgb="FF3F3F3F"/>
      </top>
      <bottom style="medium">
        <color rgb="FF3F3F3F"/>
      </bottom>
      <diagonal/>
    </border>
    <border>
      <left style="medium">
        <color rgb="FF3F3F3F"/>
      </left>
      <right/>
      <top style="medium">
        <color indexed="64"/>
      </top>
      <bottom/>
      <diagonal/>
    </border>
    <border>
      <left style="medium">
        <color rgb="FF3F3F3F"/>
      </left>
      <right/>
      <top/>
      <bottom/>
      <diagonal/>
    </border>
    <border>
      <left style="medium">
        <color rgb="FF3F3F3F"/>
      </left>
      <right/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medium">
        <color rgb="FF3F3F3F"/>
      </left>
      <right/>
      <top style="thin">
        <color rgb="FF3F3F3F"/>
      </top>
      <bottom style="thin">
        <color indexed="64"/>
      </bottom>
      <diagonal/>
    </border>
    <border>
      <left style="medium">
        <color indexed="64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3F3F3F"/>
      </left>
      <right style="medium">
        <color indexed="64"/>
      </right>
      <top/>
      <bottom/>
      <diagonal/>
    </border>
    <border>
      <left style="medium">
        <color rgb="FF3F3F3F"/>
      </left>
      <right style="medium">
        <color indexed="64"/>
      </right>
      <top/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thin">
        <color rgb="FF7F7F7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/>
      <top style="thin">
        <color rgb="FF7F7F7F"/>
      </top>
      <bottom/>
      <diagonal/>
    </border>
    <border>
      <left/>
      <right/>
      <top style="thin">
        <color rgb="FF7F7F7F"/>
      </top>
      <bottom/>
      <diagonal/>
    </border>
    <border>
      <left/>
      <right style="medium">
        <color indexed="64"/>
      </right>
      <top style="thin">
        <color rgb="FF7F7F7F"/>
      </top>
      <bottom/>
      <diagonal/>
    </border>
    <border>
      <left/>
      <right/>
      <top style="medium">
        <color rgb="FFFFC000"/>
      </top>
      <bottom style="medium">
        <color rgb="FFFFC000"/>
      </bottom>
      <diagonal/>
    </border>
    <border>
      <left style="medium">
        <color rgb="FFA6A6A6"/>
      </left>
      <right style="medium">
        <color rgb="FFA6A6A6"/>
      </right>
      <top style="medium">
        <color rgb="FFA6A6A6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3F3F3F"/>
      </left>
      <right/>
      <top style="thin">
        <color indexed="64"/>
      </top>
      <bottom style="medium">
        <color indexed="64"/>
      </bottom>
      <diagonal/>
    </border>
    <border>
      <left style="medium">
        <color rgb="FF3F3F3F"/>
      </left>
      <right/>
      <top style="thin">
        <color rgb="FF3F3F3F"/>
      </top>
      <bottom style="thin">
        <color rgb="FF3F3F3F"/>
      </bottom>
      <diagonal/>
    </border>
    <border>
      <left style="medium">
        <color rgb="FF3F3F3F"/>
      </left>
      <right/>
      <top style="medium">
        <color rgb="FF3F3F3F"/>
      </top>
      <bottom style="thin">
        <color rgb="FF3F3F3F"/>
      </bottom>
      <diagonal/>
    </border>
    <border>
      <left style="medium">
        <color rgb="FF3F3F3F"/>
      </left>
      <right/>
      <top style="medium">
        <color indexed="64"/>
      </top>
      <bottom style="medium">
        <color rgb="FF3F3F3F"/>
      </bottom>
      <diagonal/>
    </border>
    <border>
      <left style="medium">
        <color indexed="64"/>
      </left>
      <right/>
      <top style="thin">
        <color rgb="FF3F3F3F"/>
      </top>
      <bottom style="medium">
        <color indexed="64"/>
      </bottom>
      <diagonal/>
    </border>
    <border>
      <left style="medium">
        <color rgb="FF3F3F3F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thin">
        <color rgb="FF3F3F3F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7F7F7F"/>
      </bottom>
      <diagonal/>
    </border>
    <border>
      <left style="medium">
        <color indexed="64"/>
      </left>
      <right style="medium">
        <color indexed="64"/>
      </right>
      <top style="thin">
        <color rgb="FF7F7F7F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rgb="FF3F3F3F"/>
      </bottom>
      <diagonal/>
    </border>
  </borders>
  <cellStyleXfs count="591">
    <xf numFmtId="0" fontId="0" fillId="0" borderId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0" borderId="0" applyNumberFormat="0" applyBorder="0" applyAlignment="0" applyProtection="0"/>
    <xf numFmtId="0" fontId="28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29" fillId="22" borderId="0" applyNumberFormat="0" applyBorder="0" applyAlignment="0" applyProtection="0"/>
    <xf numFmtId="0" fontId="29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1" fillId="29" borderId="60" applyNumberFormat="0" applyAlignment="0" applyProtection="0"/>
    <xf numFmtId="0" fontId="32" fillId="30" borderId="61" applyNumberFormat="0" applyAlignment="0" applyProtection="0"/>
    <xf numFmtId="43" fontId="17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31" borderId="0" applyNumberFormat="0" applyBorder="0" applyAlignment="0" applyProtection="0"/>
    <xf numFmtId="0" fontId="35" fillId="0" borderId="62" applyNumberFormat="0" applyFill="0" applyAlignment="0" applyProtection="0"/>
    <xf numFmtId="0" fontId="36" fillId="0" borderId="63" applyNumberFormat="0" applyFill="0" applyAlignment="0" applyProtection="0"/>
    <xf numFmtId="0" fontId="37" fillId="0" borderId="64" applyNumberFormat="0" applyFill="0" applyAlignment="0" applyProtection="0"/>
    <xf numFmtId="0" fontId="37" fillId="0" borderId="0" applyNumberFormat="0" applyFill="0" applyBorder="0" applyAlignment="0" applyProtection="0"/>
    <xf numFmtId="0" fontId="38" fillId="32" borderId="60" applyNumberFormat="0" applyAlignment="0" applyProtection="0"/>
    <xf numFmtId="0" fontId="39" fillId="0" borderId="65" applyNumberFormat="0" applyFill="0" applyAlignment="0" applyProtection="0"/>
    <xf numFmtId="0" fontId="40" fillId="33" borderId="0" applyNumberFormat="0" applyBorder="0" applyAlignment="0" applyProtection="0"/>
    <xf numFmtId="0" fontId="17" fillId="0" borderId="0"/>
    <xf numFmtId="0" fontId="28" fillId="0" borderId="0"/>
    <xf numFmtId="0" fontId="28" fillId="34" borderId="66" applyNumberFormat="0" applyFont="0" applyAlignment="0" applyProtection="0"/>
    <xf numFmtId="0" fontId="41" fillId="29" borderId="67" applyNumberFormat="0" applyAlignment="0" applyProtection="0"/>
    <xf numFmtId="9" fontId="27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8" applyNumberFormat="0" applyFill="0" applyAlignment="0" applyProtection="0"/>
    <xf numFmtId="0" fontId="44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0" borderId="0"/>
    <xf numFmtId="0" fontId="12" fillId="34" borderId="66" applyNumberFormat="0" applyFont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0" borderId="0"/>
    <xf numFmtId="0" fontId="10" fillId="34" borderId="66" applyNumberFormat="0" applyFont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0" borderId="0"/>
    <xf numFmtId="0" fontId="10" fillId="34" borderId="66" applyNumberFormat="0" applyFon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34" borderId="66" applyNumberFormat="0" applyFon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34" borderId="66" applyNumberFormat="0" applyFon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34" borderId="66" applyNumberFormat="0" applyFont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0" borderId="0"/>
    <xf numFmtId="0" fontId="7" fillId="34" borderId="66" applyNumberFormat="0" applyFont="0" applyAlignment="0" applyProtection="0"/>
    <xf numFmtId="0" fontId="3" fillId="8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2" borderId="0" applyNumberFormat="0" applyBorder="0" applyAlignment="0" applyProtection="0"/>
    <xf numFmtId="0" fontId="3" fillId="7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5" borderId="0" applyNumberFormat="0" applyBorder="0" applyAlignment="0" applyProtection="0"/>
    <xf numFmtId="0" fontId="3" fillId="8" borderId="0" applyNumberFormat="0" applyBorder="0" applyAlignment="0" applyProtection="0"/>
    <xf numFmtId="0" fontId="3" fillId="5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3" fillId="8" borderId="0" applyNumberFormat="0" applyBorder="0" applyAlignment="0" applyProtection="0"/>
    <xf numFmtId="0" fontId="17" fillId="0" borderId="0"/>
    <xf numFmtId="0" fontId="3" fillId="5" borderId="0" applyNumberFormat="0" applyBorder="0" applyAlignment="0" applyProtection="0"/>
    <xf numFmtId="0" fontId="3" fillId="1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9" fontId="17" fillId="0" borderId="0" applyFont="0" applyFill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0" borderId="0"/>
    <xf numFmtId="0" fontId="2" fillId="34" borderId="66" applyNumberFormat="0" applyFont="0" applyAlignment="0" applyProtection="0"/>
  </cellStyleXfs>
  <cellXfs count="741">
    <xf numFmtId="0" fontId="0" fillId="0" borderId="0" xfId="0"/>
    <xf numFmtId="2" fontId="0" fillId="0" borderId="0" xfId="0" applyNumberFormat="1"/>
    <xf numFmtId="2" fontId="0" fillId="0" borderId="0" xfId="0" applyNumberFormat="1" applyFill="1"/>
    <xf numFmtId="0" fontId="0" fillId="0" borderId="0" xfId="0" applyAlignment="1"/>
    <xf numFmtId="0" fontId="19" fillId="0" borderId="0" xfId="0" applyFont="1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20" fillId="0" borderId="0" xfId="0" applyFont="1" applyAlignment="1"/>
    <xf numFmtId="0" fontId="24" fillId="0" borderId="3" xfId="0" applyFont="1" applyBorder="1"/>
    <xf numFmtId="0" fontId="24" fillId="0" borderId="2" xfId="0" applyFont="1" applyBorder="1"/>
    <xf numFmtId="0" fontId="24" fillId="0" borderId="4" xfId="0" applyFont="1" applyBorder="1"/>
    <xf numFmtId="0" fontId="22" fillId="0" borderId="4" xfId="0" applyFont="1" applyBorder="1"/>
    <xf numFmtId="0" fontId="22" fillId="0" borderId="1" xfId="0" applyFont="1" applyBorder="1"/>
    <xf numFmtId="0" fontId="24" fillId="0" borderId="5" xfId="0" applyFont="1" applyBorder="1"/>
    <xf numFmtId="0" fontId="24" fillId="0" borderId="6" xfId="0" applyFont="1" applyBorder="1"/>
    <xf numFmtId="0" fontId="22" fillId="0" borderId="6" xfId="0" applyFont="1" applyBorder="1"/>
    <xf numFmtId="0" fontId="22" fillId="0" borderId="7" xfId="0" applyFont="1" applyBorder="1"/>
    <xf numFmtId="0" fontId="24" fillId="0" borderId="0" xfId="0" applyFont="1"/>
    <xf numFmtId="0" fontId="22" fillId="0" borderId="0" xfId="0" applyFont="1"/>
    <xf numFmtId="0" fontId="24" fillId="0" borderId="8" xfId="0" applyFont="1" applyBorder="1"/>
    <xf numFmtId="0" fontId="24" fillId="0" borderId="9" xfId="0" applyFont="1" applyBorder="1"/>
    <xf numFmtId="0" fontId="24" fillId="0" borderId="10" xfId="0" applyFont="1" applyBorder="1"/>
    <xf numFmtId="0" fontId="22" fillId="0" borderId="10" xfId="0" applyFont="1" applyBorder="1"/>
    <xf numFmtId="0" fontId="22" fillId="0" borderId="11" xfId="0" applyFont="1" applyBorder="1"/>
    <xf numFmtId="0" fontId="24" fillId="0" borderId="12" xfId="0" applyFont="1" applyBorder="1"/>
    <xf numFmtId="0" fontId="24" fillId="0" borderId="0" xfId="0" applyFont="1" applyBorder="1"/>
    <xf numFmtId="0" fontId="22" fillId="0" borderId="0" xfId="0" applyFont="1" applyBorder="1"/>
    <xf numFmtId="0" fontId="22" fillId="0" borderId="13" xfId="0" applyFont="1" applyBorder="1"/>
    <xf numFmtId="0" fontId="24" fillId="0" borderId="7" xfId="0" applyFont="1" applyBorder="1"/>
    <xf numFmtId="0" fontId="24" fillId="0" borderId="11" xfId="0" applyFont="1" applyBorder="1"/>
    <xf numFmtId="0" fontId="22" fillId="0" borderId="12" xfId="0" applyFont="1" applyBorder="1"/>
    <xf numFmtId="0" fontId="22" fillId="0" borderId="5" xfId="0" applyFont="1" applyBorder="1"/>
    <xf numFmtId="0" fontId="22" fillId="0" borderId="3" xfId="0" applyFont="1" applyBorder="1"/>
    <xf numFmtId="0" fontId="0" fillId="0" borderId="0" xfId="0" applyFill="1" applyBorder="1"/>
    <xf numFmtId="0" fontId="0" fillId="0" borderId="0" xfId="0" applyProtection="1">
      <protection hidden="1"/>
    </xf>
    <xf numFmtId="2" fontId="0" fillId="0" borderId="0" xfId="0" applyNumberFormat="1" applyProtection="1">
      <protection hidden="1"/>
    </xf>
    <xf numFmtId="2" fontId="14" fillId="0" borderId="0" xfId="0" applyNumberFormat="1" applyFont="1" applyProtection="1">
      <protection hidden="1"/>
    </xf>
    <xf numFmtId="2" fontId="0" fillId="0" borderId="0" xfId="0" applyNumberFormat="1" applyFill="1" applyProtection="1">
      <protection hidden="1"/>
    </xf>
    <xf numFmtId="2" fontId="0" fillId="0" borderId="0" xfId="0" applyNumberFormat="1" applyFill="1" applyAlignment="1" applyProtection="1">
      <alignment horizontal="center"/>
      <protection hidden="1"/>
    </xf>
    <xf numFmtId="165" fontId="0" fillId="0" borderId="0" xfId="0" applyNumberFormat="1" applyProtection="1">
      <protection hidden="1"/>
    </xf>
    <xf numFmtId="164" fontId="0" fillId="0" borderId="0" xfId="0" applyNumberFormat="1" applyAlignment="1" applyProtection="1">
      <alignment horizontal="center"/>
      <protection hidden="1"/>
    </xf>
    <xf numFmtId="166" fontId="0" fillId="0" borderId="0" xfId="0" applyNumberFormat="1" applyProtection="1">
      <protection hidden="1"/>
    </xf>
    <xf numFmtId="2" fontId="0" fillId="0" borderId="0" xfId="0" applyNumberFormat="1" applyAlignment="1" applyProtection="1">
      <alignment wrapText="1"/>
      <protection hidden="1"/>
    </xf>
    <xf numFmtId="2" fontId="0" fillId="0" borderId="0" xfId="0" applyNumberFormat="1" applyFill="1" applyBorder="1" applyAlignment="1" applyProtection="1">
      <alignment horizontal="center"/>
      <protection hidden="1"/>
    </xf>
    <xf numFmtId="2" fontId="0" fillId="0" borderId="0" xfId="0" applyNumberFormat="1" applyFill="1" applyBorder="1" applyProtection="1">
      <protection hidden="1"/>
    </xf>
    <xf numFmtId="49" fontId="0" fillId="0" borderId="0" xfId="0" applyNumberFormat="1" applyProtection="1">
      <protection hidden="1"/>
    </xf>
    <xf numFmtId="167" fontId="14" fillId="0" borderId="0" xfId="0" applyNumberFormat="1" applyFont="1" applyProtection="1">
      <protection hidden="1"/>
    </xf>
    <xf numFmtId="0" fontId="45" fillId="31" borderId="16" xfId="39" applyFont="1" applyBorder="1" applyAlignment="1">
      <alignment horizontal="center"/>
    </xf>
    <xf numFmtId="0" fontId="28" fillId="10" borderId="21" xfId="10" applyBorder="1"/>
    <xf numFmtId="0" fontId="28" fillId="10" borderId="22" xfId="10" applyBorder="1"/>
    <xf numFmtId="0" fontId="28" fillId="10" borderId="0" xfId="10"/>
    <xf numFmtId="0" fontId="17" fillId="0" borderId="0" xfId="0" applyFont="1"/>
    <xf numFmtId="2" fontId="17" fillId="0" borderId="0" xfId="0" applyNumberFormat="1" applyFont="1" applyFill="1" applyBorder="1" applyAlignment="1" applyProtection="1">
      <alignment horizontal="left"/>
      <protection hidden="1"/>
    </xf>
    <xf numFmtId="2" fontId="28" fillId="10" borderId="23" xfId="10" applyNumberFormat="1" applyBorder="1" applyAlignment="1" applyProtection="1">
      <alignment horizontal="left"/>
    </xf>
    <xf numFmtId="2" fontId="28" fillId="10" borderId="21" xfId="10" applyNumberFormat="1" applyBorder="1" applyAlignment="1" applyProtection="1">
      <alignment horizontal="left"/>
    </xf>
    <xf numFmtId="2" fontId="28" fillId="10" borderId="21" xfId="10" applyNumberFormat="1" applyBorder="1" applyProtection="1"/>
    <xf numFmtId="2" fontId="28" fillId="10" borderId="22" xfId="10" applyNumberFormat="1" applyBorder="1" applyProtection="1"/>
    <xf numFmtId="2" fontId="41" fillId="29" borderId="67" xfId="50" applyNumberFormat="1" applyAlignment="1" applyProtection="1">
      <alignment horizontal="center"/>
    </xf>
    <xf numFmtId="0" fontId="28" fillId="10" borderId="23" xfId="10" applyBorder="1"/>
    <xf numFmtId="1" fontId="41" fillId="29" borderId="24" xfId="50" applyNumberFormat="1" applyBorder="1"/>
    <xf numFmtId="167" fontId="41" fillId="29" borderId="25" xfId="50" applyNumberFormat="1" applyBorder="1"/>
    <xf numFmtId="0" fontId="41" fillId="29" borderId="26" xfId="50" applyBorder="1"/>
    <xf numFmtId="2" fontId="0" fillId="0" borderId="0" xfId="0" applyNumberFormat="1" applyBorder="1" applyProtection="1">
      <protection hidden="1"/>
    </xf>
    <xf numFmtId="2" fontId="41" fillId="29" borderId="24" xfId="50" applyNumberFormat="1" applyBorder="1" applyAlignment="1" applyProtection="1">
      <alignment horizontal="center"/>
      <protection hidden="1"/>
    </xf>
    <xf numFmtId="2" fontId="0" fillId="0" borderId="0" xfId="0" applyNumberFormat="1" applyFont="1" applyProtection="1">
      <protection hidden="1"/>
    </xf>
    <xf numFmtId="0" fontId="28" fillId="12" borderId="0" xfId="14"/>
    <xf numFmtId="2" fontId="41" fillId="29" borderId="28" xfId="50" applyNumberFormat="1" applyBorder="1" applyAlignment="1" applyProtection="1">
      <alignment horizontal="center"/>
    </xf>
    <xf numFmtId="9" fontId="41" fillId="29" borderId="25" xfId="51" applyFont="1" applyFill="1" applyBorder="1" applyAlignment="1" applyProtection="1">
      <alignment horizontal="center"/>
      <protection hidden="1"/>
    </xf>
    <xf numFmtId="0" fontId="45" fillId="31" borderId="32" xfId="39" applyFont="1" applyBorder="1" applyAlignment="1">
      <alignment horizontal="center"/>
    </xf>
    <xf numFmtId="2" fontId="46" fillId="10" borderId="24" xfId="10" applyNumberFormat="1" applyFont="1" applyBorder="1" applyAlignment="1">
      <alignment horizontal="center" vertical="center"/>
    </xf>
    <xf numFmtId="2" fontId="46" fillId="10" borderId="25" xfId="10" applyNumberFormat="1" applyFont="1" applyBorder="1" applyAlignment="1">
      <alignment horizontal="center" vertical="center"/>
    </xf>
    <xf numFmtId="2" fontId="28" fillId="10" borderId="26" xfId="10" applyNumberFormat="1" applyFont="1" applyBorder="1" applyProtection="1"/>
    <xf numFmtId="0" fontId="47" fillId="0" borderId="69" xfId="0" applyFont="1" applyBorder="1" applyAlignment="1">
      <alignment horizontal="right" vertical="center" wrapText="1"/>
    </xf>
    <xf numFmtId="0" fontId="47" fillId="36" borderId="70" xfId="0" applyFont="1" applyFill="1" applyBorder="1" applyAlignment="1">
      <alignment vertical="center" wrapText="1"/>
    </xf>
    <xf numFmtId="0" fontId="17" fillId="0" borderId="0" xfId="47"/>
    <xf numFmtId="0" fontId="41" fillId="29" borderId="34" xfId="50" applyBorder="1"/>
    <xf numFmtId="0" fontId="0" fillId="35" borderId="0" xfId="0" applyFill="1" applyProtection="1">
      <protection hidden="1"/>
    </xf>
    <xf numFmtId="2" fontId="41" fillId="29" borderId="34" xfId="50" applyNumberFormat="1" applyBorder="1" applyAlignment="1" applyProtection="1">
      <alignment horizontal="center"/>
      <protection hidden="1"/>
    </xf>
    <xf numFmtId="2" fontId="41" fillId="29" borderId="38" xfId="51" applyNumberFormat="1" applyFont="1" applyFill="1" applyBorder="1" applyAlignment="1" applyProtection="1">
      <protection hidden="1"/>
    </xf>
    <xf numFmtId="2" fontId="41" fillId="29" borderId="0" xfId="51" applyNumberFormat="1" applyFont="1" applyFill="1" applyBorder="1" applyAlignment="1" applyProtection="1">
      <protection hidden="1"/>
    </xf>
    <xf numFmtId="2" fontId="41" fillId="29" borderId="38" xfId="50" applyNumberFormat="1" applyBorder="1" applyAlignment="1" applyProtection="1">
      <protection hidden="1"/>
    </xf>
    <xf numFmtId="2" fontId="41" fillId="29" borderId="0" xfId="50" applyNumberFormat="1" applyBorder="1" applyAlignment="1" applyProtection="1">
      <protection hidden="1"/>
    </xf>
    <xf numFmtId="2" fontId="17" fillId="0" borderId="0" xfId="0" applyNumberFormat="1" applyFont="1" applyAlignment="1" applyProtection="1">
      <alignment horizontal="left"/>
      <protection hidden="1"/>
    </xf>
    <xf numFmtId="2" fontId="0" fillId="0" borderId="0" xfId="0" applyNumberFormat="1" applyAlignment="1" applyProtection="1">
      <alignment horizontal="left"/>
      <protection hidden="1"/>
    </xf>
    <xf numFmtId="2" fontId="28" fillId="5" borderId="0" xfId="2" applyNumberFormat="1" applyProtection="1">
      <protection hidden="1"/>
    </xf>
    <xf numFmtId="2" fontId="28" fillId="5" borderId="28" xfId="2" applyNumberFormat="1" applyBorder="1" applyProtection="1">
      <protection hidden="1"/>
    </xf>
    <xf numFmtId="2" fontId="28" fillId="5" borderId="28" xfId="2" applyNumberFormat="1" applyBorder="1" applyAlignment="1" applyProtection="1">
      <alignment horizontal="center"/>
      <protection hidden="1"/>
    </xf>
    <xf numFmtId="167" fontId="0" fillId="0" borderId="0" xfId="0" applyNumberFormat="1" applyProtection="1">
      <protection hidden="1"/>
    </xf>
    <xf numFmtId="0" fontId="17" fillId="0" borderId="0" xfId="47" applyFont="1"/>
    <xf numFmtId="2" fontId="14" fillId="0" borderId="0" xfId="47" applyNumberFormat="1" applyFont="1" applyProtection="1">
      <protection hidden="1"/>
    </xf>
    <xf numFmtId="0" fontId="17" fillId="0" borderId="39" xfId="47" applyBorder="1"/>
    <xf numFmtId="0" fontId="17" fillId="0" borderId="40" xfId="47" applyBorder="1"/>
    <xf numFmtId="0" fontId="17" fillId="0" borderId="40" xfId="47" applyFont="1" applyFill="1" applyBorder="1"/>
    <xf numFmtId="2" fontId="17" fillId="0" borderId="0" xfId="0" applyNumberFormat="1" applyFont="1" applyProtection="1">
      <protection hidden="1"/>
    </xf>
    <xf numFmtId="0" fontId="14" fillId="0" borderId="0" xfId="47" applyFont="1"/>
    <xf numFmtId="0" fontId="17" fillId="0" borderId="0" xfId="0" applyFont="1" applyProtection="1">
      <protection hidden="1"/>
    </xf>
    <xf numFmtId="0" fontId="17" fillId="0" borderId="0" xfId="0" applyFont="1" applyBorder="1"/>
    <xf numFmtId="164" fontId="0" fillId="0" borderId="0" xfId="0" applyNumberFormat="1"/>
    <xf numFmtId="164" fontId="0" fillId="0" borderId="0" xfId="0" applyNumberFormat="1" applyBorder="1"/>
    <xf numFmtId="0" fontId="17" fillId="0" borderId="0" xfId="0" applyFont="1" applyFill="1" applyBorder="1"/>
    <xf numFmtId="170" fontId="14" fillId="0" borderId="0" xfId="0" applyNumberFormat="1" applyFont="1" applyProtection="1">
      <protection hidden="1"/>
    </xf>
    <xf numFmtId="170" fontId="0" fillId="0" borderId="0" xfId="0" applyNumberFormat="1" applyProtection="1">
      <protection hidden="1"/>
    </xf>
    <xf numFmtId="2" fontId="14" fillId="0" borderId="0" xfId="0" applyNumberFormat="1" applyFont="1" applyFill="1" applyBorder="1"/>
    <xf numFmtId="164" fontId="14" fillId="0" borderId="0" xfId="0" applyNumberFormat="1" applyFont="1" applyFill="1" applyBorder="1"/>
    <xf numFmtId="2" fontId="28" fillId="10" borderId="24" xfId="10" applyNumberFormat="1" applyBorder="1" applyProtection="1"/>
    <xf numFmtId="164" fontId="41" fillId="29" borderId="25" xfId="50" applyNumberFormat="1" applyBorder="1" applyAlignment="1" applyProtection="1">
      <alignment horizontal="center"/>
      <protection hidden="1"/>
    </xf>
    <xf numFmtId="0" fontId="13" fillId="0" borderId="0" xfId="0" applyFont="1" applyAlignment="1"/>
    <xf numFmtId="2" fontId="29" fillId="37" borderId="0" xfId="28" applyNumberFormat="1" applyFill="1" applyAlignment="1" applyProtection="1">
      <alignment horizontal="center"/>
      <protection hidden="1"/>
    </xf>
    <xf numFmtId="2" fontId="0" fillId="37" borderId="0" xfId="0" applyNumberFormat="1" applyFill="1" applyProtection="1">
      <protection hidden="1"/>
    </xf>
    <xf numFmtId="164" fontId="29" fillId="37" borderId="0" xfId="28" applyNumberFormat="1" applyFill="1" applyAlignment="1" applyProtection="1">
      <alignment horizontal="center"/>
      <protection hidden="1"/>
    </xf>
    <xf numFmtId="2" fontId="44" fillId="37" borderId="0" xfId="28" applyNumberFormat="1" applyFont="1" applyFill="1" applyAlignment="1" applyProtection="1">
      <alignment horizontal="center"/>
      <protection hidden="1"/>
    </xf>
    <xf numFmtId="0" fontId="28" fillId="14" borderId="0" xfId="18"/>
    <xf numFmtId="0" fontId="28" fillId="15" borderId="0" xfId="20"/>
    <xf numFmtId="0" fontId="28" fillId="0" borderId="0" xfId="15" applyFill="1"/>
    <xf numFmtId="2" fontId="28" fillId="10" borderId="28" xfId="11" applyNumberFormat="1" applyBorder="1" applyProtection="1">
      <protection hidden="1"/>
    </xf>
    <xf numFmtId="2" fontId="17" fillId="3" borderId="36" xfId="47" applyNumberFormat="1" applyFill="1" applyBorder="1" applyAlignment="1" applyProtection="1">
      <alignment wrapText="1"/>
      <protection hidden="1"/>
    </xf>
    <xf numFmtId="1" fontId="17" fillId="0" borderId="28" xfId="47" applyNumberFormat="1" applyBorder="1" applyProtection="1">
      <protection hidden="1"/>
    </xf>
    <xf numFmtId="2" fontId="17" fillId="0" borderId="28" xfId="47" applyNumberFormat="1" applyBorder="1" applyProtection="1">
      <protection hidden="1"/>
    </xf>
    <xf numFmtId="2" fontId="28" fillId="12" borderId="28" xfId="15" applyNumberFormat="1" applyBorder="1" applyProtection="1">
      <protection hidden="1"/>
    </xf>
    <xf numFmtId="0" fontId="41" fillId="29" borderId="67" xfId="50"/>
    <xf numFmtId="0" fontId="45" fillId="31" borderId="15" xfId="39" applyFont="1" applyBorder="1" applyAlignment="1">
      <alignment horizontal="center"/>
    </xf>
    <xf numFmtId="172" fontId="0" fillId="0" borderId="0" xfId="0" applyNumberFormat="1" applyProtection="1">
      <protection hidden="1"/>
    </xf>
    <xf numFmtId="2" fontId="34" fillId="31" borderId="0" xfId="39" applyNumberFormat="1" applyProtection="1">
      <protection hidden="1"/>
    </xf>
    <xf numFmtId="171" fontId="0" fillId="0" borderId="0" xfId="0" applyNumberFormat="1" applyProtection="1">
      <protection hidden="1"/>
    </xf>
    <xf numFmtId="0" fontId="28" fillId="12" borderId="0" xfId="14" applyFont="1"/>
    <xf numFmtId="0" fontId="28" fillId="13" borderId="0" xfId="17"/>
    <xf numFmtId="0" fontId="0" fillId="38" borderId="0" xfId="0" applyFill="1"/>
    <xf numFmtId="2" fontId="41" fillId="29" borderId="25" xfId="50" applyNumberFormat="1" applyBorder="1" applyAlignment="1" applyProtection="1">
      <alignment horizontal="center"/>
      <protection hidden="1"/>
    </xf>
    <xf numFmtId="2" fontId="41" fillId="29" borderId="26" xfId="50" applyNumberFormat="1" applyBorder="1" applyAlignment="1" applyProtection="1">
      <alignment horizontal="center"/>
      <protection hidden="1"/>
    </xf>
    <xf numFmtId="2" fontId="41" fillId="29" borderId="28" xfId="50" applyNumberFormat="1" applyBorder="1" applyAlignment="1" applyProtection="1">
      <alignment horizontal="center"/>
      <protection hidden="1"/>
    </xf>
    <xf numFmtId="0" fontId="40" fillId="33" borderId="74" xfId="46" applyBorder="1" applyProtection="1">
      <protection hidden="1"/>
    </xf>
    <xf numFmtId="0" fontId="40" fillId="33" borderId="75" xfId="46" applyBorder="1" applyProtection="1">
      <protection hidden="1"/>
    </xf>
    <xf numFmtId="0" fontId="0" fillId="39" borderId="0" xfId="0" applyFill="1" applyProtection="1">
      <protection hidden="1"/>
    </xf>
    <xf numFmtId="2" fontId="40" fillId="33" borderId="76" xfId="46" applyNumberFormat="1" applyBorder="1" applyAlignment="1" applyProtection="1">
      <alignment horizontal="center"/>
      <protection hidden="1"/>
    </xf>
    <xf numFmtId="0" fontId="40" fillId="33" borderId="76" xfId="46" applyBorder="1" applyAlignment="1" applyProtection="1">
      <alignment horizontal="center"/>
      <protection hidden="1"/>
    </xf>
    <xf numFmtId="0" fontId="40" fillId="33" borderId="76" xfId="46" applyBorder="1" applyProtection="1">
      <protection hidden="1"/>
    </xf>
    <xf numFmtId="0" fontId="0" fillId="39" borderId="0" xfId="0" applyFill="1" applyAlignment="1" applyProtection="1">
      <alignment horizontal="center"/>
      <protection hidden="1"/>
    </xf>
    <xf numFmtId="1" fontId="40" fillId="33" borderId="76" xfId="46" applyNumberFormat="1" applyBorder="1" applyAlignment="1" applyProtection="1">
      <alignment horizontal="center"/>
      <protection hidden="1"/>
    </xf>
    <xf numFmtId="9" fontId="40" fillId="33" borderId="76" xfId="51" applyFont="1" applyFill="1" applyBorder="1" applyProtection="1">
      <protection hidden="1"/>
    </xf>
    <xf numFmtId="2" fontId="40" fillId="33" borderId="76" xfId="46" applyNumberFormat="1" applyBorder="1" applyProtection="1">
      <protection hidden="1"/>
    </xf>
    <xf numFmtId="0" fontId="0" fillId="40" borderId="0" xfId="0" applyFill="1" applyProtection="1">
      <protection hidden="1"/>
    </xf>
    <xf numFmtId="0" fontId="0" fillId="40" borderId="0" xfId="0" applyFill="1" applyAlignment="1" applyProtection="1">
      <alignment horizontal="center"/>
      <protection hidden="1"/>
    </xf>
    <xf numFmtId="0" fontId="0" fillId="35" borderId="0" xfId="0" applyFill="1" applyAlignment="1" applyProtection="1">
      <alignment horizontal="center"/>
      <protection hidden="1"/>
    </xf>
    <xf numFmtId="0" fontId="0" fillId="41" borderId="0" xfId="0" applyFill="1" applyProtection="1">
      <protection hidden="1"/>
    </xf>
    <xf numFmtId="0" fontId="17" fillId="0" borderId="0" xfId="47" applyProtection="1">
      <protection hidden="1"/>
    </xf>
    <xf numFmtId="0" fontId="17" fillId="0" borderId="0" xfId="47" applyFont="1" applyProtection="1">
      <protection hidden="1"/>
    </xf>
    <xf numFmtId="171" fontId="17" fillId="0" borderId="0" xfId="47" applyNumberFormat="1" applyProtection="1">
      <protection hidden="1"/>
    </xf>
    <xf numFmtId="0" fontId="35" fillId="0" borderId="62" xfId="40" applyProtection="1">
      <protection hidden="1"/>
    </xf>
    <xf numFmtId="0" fontId="28" fillId="10" borderId="0" xfId="11" applyProtection="1">
      <protection hidden="1"/>
    </xf>
    <xf numFmtId="2" fontId="41" fillId="29" borderId="67" xfId="50" applyNumberFormat="1" applyProtection="1">
      <protection hidden="1"/>
    </xf>
    <xf numFmtId="0" fontId="28" fillId="12" borderId="0" xfId="15" applyProtection="1">
      <protection hidden="1"/>
    </xf>
    <xf numFmtId="0" fontId="17" fillId="0" borderId="29" xfId="47" applyFont="1" applyBorder="1" applyAlignment="1" applyProtection="1">
      <alignment horizontal="right"/>
      <protection hidden="1"/>
    </xf>
    <xf numFmtId="0" fontId="17" fillId="0" borderId="27" xfId="47" applyFont="1" applyBorder="1" applyAlignment="1" applyProtection="1">
      <alignment horizontal="center"/>
      <protection hidden="1"/>
    </xf>
    <xf numFmtId="0" fontId="17" fillId="0" borderId="27" xfId="47" applyFont="1" applyBorder="1" applyProtection="1">
      <protection hidden="1"/>
    </xf>
    <xf numFmtId="0" fontId="14" fillId="0" borderId="0" xfId="47" applyFont="1" applyProtection="1">
      <protection hidden="1"/>
    </xf>
    <xf numFmtId="0" fontId="17" fillId="42" borderId="0" xfId="0" applyFont="1" applyFill="1"/>
    <xf numFmtId="0" fontId="0" fillId="42" borderId="0" xfId="0" applyFill="1"/>
    <xf numFmtId="0" fontId="28" fillId="42" borderId="0" xfId="17" applyFill="1"/>
    <xf numFmtId="0" fontId="28" fillId="42" borderId="0" xfId="20" applyFill="1"/>
    <xf numFmtId="2" fontId="49" fillId="10" borderId="29" xfId="10" applyNumberFormat="1" applyFont="1" applyBorder="1" applyAlignment="1">
      <alignment vertical="center"/>
    </xf>
    <xf numFmtId="2" fontId="13" fillId="10" borderId="24" xfId="10" applyNumberFormat="1" applyFont="1" applyBorder="1" applyAlignment="1">
      <alignment horizontal="center" vertical="center"/>
    </xf>
    <xf numFmtId="2" fontId="13" fillId="10" borderId="34" xfId="10" applyNumberFormat="1" applyFont="1" applyBorder="1" applyAlignment="1">
      <alignment horizontal="center" vertical="center"/>
    </xf>
    <xf numFmtId="2" fontId="49" fillId="10" borderId="0" xfId="10" applyNumberFormat="1" applyFont="1" applyBorder="1" applyAlignment="1" applyProtection="1">
      <alignment horizontal="center" vertical="center"/>
      <protection locked="0"/>
    </xf>
    <xf numFmtId="2" fontId="49" fillId="10" borderId="19" xfId="10" applyNumberFormat="1" applyFont="1" applyBorder="1" applyAlignment="1" applyProtection="1">
      <alignment horizontal="left" vertical="center" indent="2"/>
      <protection locked="0"/>
    </xf>
    <xf numFmtId="2" fontId="49" fillId="10" borderId="31" xfId="10" applyNumberFormat="1" applyFont="1" applyBorder="1" applyAlignment="1" applyProtection="1">
      <alignment vertical="center"/>
    </xf>
    <xf numFmtId="2" fontId="49" fillId="10" borderId="30" xfId="10" applyNumberFormat="1" applyFont="1" applyBorder="1" applyAlignment="1" applyProtection="1">
      <alignment vertical="center"/>
    </xf>
    <xf numFmtId="2" fontId="49" fillId="10" borderId="29" xfId="10" applyNumberFormat="1" applyFont="1" applyBorder="1" applyAlignment="1" applyProtection="1">
      <alignment vertical="center"/>
    </xf>
    <xf numFmtId="0" fontId="49" fillId="10" borderId="21" xfId="10" applyFont="1" applyBorder="1"/>
    <xf numFmtId="0" fontId="49" fillId="10" borderId="0" xfId="10" applyFont="1" applyBorder="1" applyAlignment="1">
      <alignment wrapText="1"/>
    </xf>
    <xf numFmtId="0" fontId="49" fillId="10" borderId="20" xfId="10" applyFont="1" applyBorder="1" applyAlignment="1">
      <alignment wrapText="1"/>
    </xf>
    <xf numFmtId="2" fontId="50" fillId="10" borderId="38" xfId="10" applyNumberFormat="1" applyFont="1" applyBorder="1" applyAlignment="1">
      <alignment vertical="center" wrapText="1"/>
    </xf>
    <xf numFmtId="2" fontId="50" fillId="10" borderId="19" xfId="10" applyNumberFormat="1" applyFont="1" applyBorder="1" applyAlignment="1">
      <alignment vertical="center" wrapText="1"/>
    </xf>
    <xf numFmtId="0" fontId="49" fillId="10" borderId="0" xfId="10" applyFont="1" applyBorder="1"/>
    <xf numFmtId="0" fontId="49" fillId="10" borderId="0" xfId="10" applyFont="1" applyBorder="1" applyProtection="1"/>
    <xf numFmtId="0" fontId="49" fillId="10" borderId="19" xfId="10" applyFont="1" applyBorder="1" applyProtection="1"/>
    <xf numFmtId="0" fontId="49" fillId="10" borderId="20" xfId="10" applyFont="1" applyBorder="1" applyProtection="1"/>
    <xf numFmtId="2" fontId="49" fillId="10" borderId="30" xfId="10" applyNumberFormat="1" applyFont="1" applyBorder="1" applyAlignment="1">
      <alignment vertical="center"/>
    </xf>
    <xf numFmtId="2" fontId="49" fillId="10" borderId="31" xfId="10" applyNumberFormat="1" applyFont="1" applyBorder="1" applyAlignment="1">
      <alignment vertical="center"/>
    </xf>
    <xf numFmtId="2" fontId="53" fillId="10" borderId="31" xfId="10" applyNumberFormat="1" applyFont="1" applyBorder="1" applyAlignment="1" applyProtection="1">
      <alignment vertical="center"/>
      <protection hidden="1"/>
    </xf>
    <xf numFmtId="0" fontId="49" fillId="10" borderId="29" xfId="10" applyFont="1" applyBorder="1" applyAlignment="1"/>
    <xf numFmtId="2" fontId="56" fillId="32" borderId="25" xfId="44" applyNumberFormat="1" applyFont="1" applyBorder="1" applyAlignment="1" applyProtection="1">
      <alignment horizontal="center" vertical="center"/>
      <protection locked="0"/>
    </xf>
    <xf numFmtId="0" fontId="17" fillId="37" borderId="0" xfId="0" applyFont="1" applyFill="1"/>
    <xf numFmtId="167" fontId="50" fillId="29" borderId="82" xfId="50" applyNumberFormat="1" applyFont="1" applyBorder="1" applyAlignment="1" applyProtection="1">
      <alignment horizontal="center" vertical="center" wrapText="1"/>
      <protection hidden="1"/>
    </xf>
    <xf numFmtId="2" fontId="50" fillId="29" borderId="44" xfId="50" applyNumberFormat="1" applyFont="1" applyBorder="1" applyAlignment="1" applyProtection="1">
      <alignment horizontal="center"/>
      <protection hidden="1"/>
    </xf>
    <xf numFmtId="165" fontId="50" fillId="29" borderId="46" xfId="50" applyNumberFormat="1" applyFont="1" applyBorder="1" applyAlignment="1" applyProtection="1">
      <alignment horizontal="center"/>
      <protection hidden="1"/>
    </xf>
    <xf numFmtId="1" fontId="50" fillId="29" borderId="44" xfId="50" applyNumberFormat="1" applyFont="1" applyBorder="1" applyAlignment="1" applyProtection="1">
      <alignment horizontal="center" vertical="center" wrapText="1"/>
      <protection hidden="1"/>
    </xf>
    <xf numFmtId="0" fontId="17" fillId="0" borderId="0" xfId="0" applyFont="1" applyAlignment="1">
      <alignment horizontal="center" vertical="center"/>
    </xf>
    <xf numFmtId="2" fontId="0" fillId="0" borderId="0" xfId="0" applyNumberFormat="1" applyAlignment="1" applyProtection="1">
      <alignment horizontal="center" vertical="center"/>
      <protection hidden="1"/>
    </xf>
    <xf numFmtId="2" fontId="0" fillId="0" borderId="0" xfId="0" applyNumberFormat="1" applyAlignment="1">
      <alignment horizontal="center" vertical="center"/>
    </xf>
    <xf numFmtId="2" fontId="17" fillId="0" borderId="0" xfId="0" applyNumberFormat="1" applyFont="1" applyAlignment="1" applyProtection="1">
      <alignment horizontal="center" vertical="center"/>
      <protection hidden="1"/>
    </xf>
    <xf numFmtId="2" fontId="0" fillId="0" borderId="0" xfId="0" applyNumberFormat="1" applyFont="1" applyAlignment="1" applyProtection="1">
      <alignment horizontal="center" vertical="center"/>
      <protection hidden="1"/>
    </xf>
    <xf numFmtId="0" fontId="14" fillId="0" borderId="0" xfId="0" applyFont="1" applyAlignment="1">
      <alignment horizontal="center" vertical="center"/>
    </xf>
    <xf numFmtId="2" fontId="17" fillId="0" borderId="0" xfId="0" applyNumberFormat="1" applyFont="1" applyAlignment="1">
      <alignment horizontal="center"/>
    </xf>
    <xf numFmtId="0" fontId="14" fillId="0" borderId="0" xfId="0" applyFont="1" applyFill="1" applyBorder="1" applyAlignment="1">
      <alignment wrapText="1"/>
    </xf>
    <xf numFmtId="2" fontId="50" fillId="29" borderId="71" xfId="50" applyNumberFormat="1" applyFont="1" applyBorder="1" applyAlignment="1" applyProtection="1">
      <alignment horizontal="center"/>
      <protection hidden="1"/>
    </xf>
    <xf numFmtId="2" fontId="50" fillId="29" borderId="100" xfId="50" applyNumberFormat="1" applyFont="1" applyBorder="1" applyAlignment="1" applyProtection="1">
      <alignment horizontal="center"/>
      <protection hidden="1"/>
    </xf>
    <xf numFmtId="0" fontId="56" fillId="32" borderId="52" xfId="44" applyFont="1" applyBorder="1" applyAlignment="1" applyProtection="1">
      <alignment horizontal="center" vertical="center"/>
      <protection locked="0"/>
    </xf>
    <xf numFmtId="0" fontId="56" fillId="32" borderId="44" xfId="44" applyFont="1" applyBorder="1" applyAlignment="1" applyProtection="1">
      <alignment horizontal="center" vertical="center"/>
      <protection locked="0"/>
    </xf>
    <xf numFmtId="167" fontId="56" fillId="32" borderId="46" xfId="44" applyNumberFormat="1" applyFont="1" applyBorder="1" applyAlignment="1" applyProtection="1">
      <alignment horizontal="center"/>
      <protection locked="0"/>
    </xf>
    <xf numFmtId="2" fontId="56" fillId="32" borderId="46" xfId="44" applyNumberFormat="1" applyFont="1" applyBorder="1" applyAlignment="1" applyProtection="1">
      <alignment horizontal="center"/>
      <protection locked="0"/>
    </xf>
    <xf numFmtId="1" fontId="56" fillId="32" borderId="44" xfId="44" applyNumberFormat="1" applyFont="1" applyBorder="1" applyAlignment="1" applyProtection="1">
      <alignment horizontal="center"/>
      <protection locked="0"/>
    </xf>
    <xf numFmtId="2" fontId="50" fillId="29" borderId="42" xfId="50" applyNumberFormat="1" applyFont="1" applyBorder="1" applyAlignment="1" applyProtection="1">
      <alignment horizontal="center"/>
      <protection hidden="1"/>
    </xf>
    <xf numFmtId="1" fontId="56" fillId="32" borderId="52" xfId="44" applyNumberFormat="1" applyFont="1" applyBorder="1" applyAlignment="1" applyProtection="1">
      <alignment horizontal="center" vertical="center"/>
      <protection locked="0"/>
    </xf>
    <xf numFmtId="2" fontId="56" fillId="32" borderId="52" xfId="44" applyNumberFormat="1" applyFont="1" applyBorder="1" applyAlignment="1" applyProtection="1">
      <alignment horizontal="center" vertical="center"/>
      <protection locked="0"/>
    </xf>
    <xf numFmtId="2" fontId="56" fillId="32" borderId="46" xfId="44" applyNumberFormat="1" applyFont="1" applyBorder="1" applyAlignment="1" applyProtection="1">
      <alignment horizontal="center" vertical="center"/>
      <protection locked="0"/>
    </xf>
    <xf numFmtId="1" fontId="50" fillId="29" borderId="52" xfId="50" applyNumberFormat="1" applyFont="1" applyBorder="1" applyAlignment="1" applyProtection="1">
      <alignment horizontal="center"/>
      <protection hidden="1"/>
    </xf>
    <xf numFmtId="1" fontId="50" fillId="29" borderId="46" xfId="50" applyNumberFormat="1" applyFont="1" applyBorder="1" applyAlignment="1" applyProtection="1">
      <alignment horizontal="center" vertical="center" wrapText="1"/>
      <protection hidden="1"/>
    </xf>
    <xf numFmtId="1" fontId="50" fillId="29" borderId="52" xfId="50" applyNumberFormat="1" applyFont="1" applyBorder="1" applyAlignment="1" applyProtection="1">
      <alignment horizontal="center" vertical="center" wrapText="1"/>
      <protection hidden="1"/>
    </xf>
    <xf numFmtId="1" fontId="50" fillId="29" borderId="101" xfId="50" applyNumberFormat="1" applyFont="1" applyBorder="1" applyAlignment="1" applyProtection="1">
      <alignment horizontal="center" vertical="center" wrapText="1"/>
      <protection hidden="1"/>
    </xf>
    <xf numFmtId="1" fontId="50" fillId="29" borderId="99" xfId="50" applyNumberFormat="1" applyFont="1" applyBorder="1" applyAlignment="1" applyProtection="1">
      <alignment horizontal="center" vertical="center" wrapText="1"/>
      <protection hidden="1"/>
    </xf>
    <xf numFmtId="167" fontId="50" fillId="29" borderId="98" xfId="50" applyNumberFormat="1" applyFont="1" applyBorder="1" applyAlignment="1" applyProtection="1">
      <alignment horizontal="center" vertical="center" wrapText="1"/>
      <protection hidden="1"/>
    </xf>
    <xf numFmtId="167" fontId="50" fillId="29" borderId="97" xfId="50" applyNumberFormat="1" applyFont="1" applyBorder="1" applyAlignment="1" applyProtection="1">
      <alignment horizontal="center" vertical="center" wrapText="1"/>
      <protection hidden="1"/>
    </xf>
    <xf numFmtId="167" fontId="50" fillId="29" borderId="96" xfId="50" applyNumberFormat="1" applyFont="1" applyBorder="1" applyAlignment="1" applyProtection="1">
      <alignment horizontal="center" vertical="center" wrapText="1"/>
      <protection hidden="1"/>
    </xf>
    <xf numFmtId="0" fontId="17" fillId="37" borderId="0" xfId="0" applyFont="1" applyFill="1" applyProtection="1">
      <protection hidden="1"/>
    </xf>
    <xf numFmtId="0" fontId="58" fillId="37" borderId="0" xfId="0" applyFont="1" applyFill="1" applyProtection="1">
      <protection hidden="1"/>
    </xf>
    <xf numFmtId="2" fontId="58" fillId="37" borderId="0" xfId="0" applyNumberFormat="1" applyFont="1" applyFill="1" applyProtection="1">
      <protection hidden="1"/>
    </xf>
    <xf numFmtId="2" fontId="17" fillId="37" borderId="0" xfId="0" applyNumberFormat="1" applyFont="1" applyFill="1" applyProtection="1">
      <protection hidden="1"/>
    </xf>
    <xf numFmtId="0" fontId="48" fillId="37" borderId="0" xfId="0" applyFont="1" applyFill="1" applyProtection="1">
      <protection hidden="1"/>
    </xf>
    <xf numFmtId="0" fontId="48" fillId="37" borderId="0" xfId="47" applyFont="1" applyFill="1" applyProtection="1">
      <protection hidden="1"/>
    </xf>
    <xf numFmtId="2" fontId="48" fillId="37" borderId="0" xfId="47" applyNumberFormat="1" applyFont="1" applyFill="1" applyProtection="1">
      <protection hidden="1"/>
    </xf>
    <xf numFmtId="2" fontId="48" fillId="37" borderId="0" xfId="0" applyNumberFormat="1" applyFont="1" applyFill="1" applyProtection="1">
      <protection hidden="1"/>
    </xf>
    <xf numFmtId="167" fontId="50" fillId="37" borderId="28" xfId="10" applyNumberFormat="1" applyFont="1" applyFill="1" applyBorder="1" applyAlignment="1" applyProtection="1">
      <alignment horizontal="center" vertical="center" wrapText="1"/>
      <protection hidden="1"/>
    </xf>
    <xf numFmtId="0" fontId="50" fillId="29" borderId="102" xfId="50" applyNumberFormat="1" applyFont="1" applyBorder="1" applyAlignment="1" applyProtection="1">
      <alignment horizontal="center" vertical="center"/>
      <protection hidden="1"/>
    </xf>
    <xf numFmtId="0" fontId="50" fillId="29" borderId="103" xfId="50" applyNumberFormat="1" applyFont="1" applyBorder="1" applyAlignment="1" applyProtection="1">
      <alignment horizontal="center" vertical="center"/>
      <protection hidden="1"/>
    </xf>
    <xf numFmtId="167" fontId="45" fillId="31" borderId="33" xfId="39" applyNumberFormat="1" applyFont="1" applyBorder="1" applyAlignment="1">
      <alignment horizontal="center"/>
    </xf>
    <xf numFmtId="0" fontId="0" fillId="37" borderId="0" xfId="0" applyFill="1" applyProtection="1"/>
    <xf numFmtId="0" fontId="49" fillId="38" borderId="46" xfId="44" applyFont="1" applyFill="1" applyBorder="1" applyAlignment="1" applyProtection="1">
      <alignment horizontal="center" vertical="center"/>
      <protection hidden="1"/>
    </xf>
    <xf numFmtId="2" fontId="49" fillId="10" borderId="44" xfId="10" applyNumberFormat="1" applyFont="1" applyBorder="1" applyAlignment="1" applyProtection="1">
      <alignment horizontal="center" vertical="center"/>
      <protection hidden="1"/>
    </xf>
    <xf numFmtId="0" fontId="58" fillId="0" borderId="0" xfId="0" applyFont="1"/>
    <xf numFmtId="0" fontId="59" fillId="37" borderId="0" xfId="0" applyFont="1" applyFill="1" applyProtection="1">
      <protection hidden="1"/>
    </xf>
    <xf numFmtId="2" fontId="59" fillId="37" borderId="0" xfId="0" applyNumberFormat="1" applyFont="1" applyFill="1" applyProtection="1">
      <protection hidden="1"/>
    </xf>
    <xf numFmtId="14" fontId="59" fillId="37" borderId="0" xfId="0" applyNumberFormat="1" applyFont="1" applyFill="1" applyProtection="1">
      <protection hidden="1"/>
    </xf>
    <xf numFmtId="0" fontId="56" fillId="32" borderId="104" xfId="44" applyFont="1" applyBorder="1" applyAlignment="1" applyProtection="1">
      <alignment horizontal="center"/>
      <protection locked="0"/>
    </xf>
    <xf numFmtId="1" fontId="56" fillId="32" borderId="105" xfId="44" applyNumberFormat="1" applyFont="1" applyBorder="1" applyAlignment="1" applyProtection="1">
      <alignment horizontal="center"/>
      <protection locked="0"/>
    </xf>
    <xf numFmtId="0" fontId="49" fillId="10" borderId="0" xfId="10" applyFont="1" applyBorder="1" applyProtection="1">
      <protection hidden="1"/>
    </xf>
    <xf numFmtId="0" fontId="49" fillId="10" borderId="19" xfId="10" applyFont="1" applyBorder="1" applyProtection="1">
      <protection hidden="1"/>
    </xf>
    <xf numFmtId="0" fontId="49" fillId="10" borderId="20" xfId="10" applyFont="1" applyBorder="1" applyProtection="1">
      <protection hidden="1"/>
    </xf>
    <xf numFmtId="0" fontId="49" fillId="10" borderId="28" xfId="10" applyFont="1" applyBorder="1" applyAlignment="1" applyProtection="1">
      <alignment horizontal="center" vertical="center"/>
      <protection hidden="1"/>
    </xf>
    <xf numFmtId="0" fontId="56" fillId="32" borderId="46" xfId="44" applyFont="1" applyBorder="1" applyAlignment="1" applyProtection="1">
      <alignment horizontal="center" vertical="center"/>
      <protection locked="0"/>
    </xf>
    <xf numFmtId="2" fontId="9" fillId="10" borderId="25" xfId="10" applyNumberFormat="1" applyFont="1" applyBorder="1" applyAlignment="1" applyProtection="1">
      <alignment horizontal="center" vertical="center" wrapText="1"/>
      <protection hidden="1"/>
    </xf>
    <xf numFmtId="2" fontId="49" fillId="10" borderId="25" xfId="10" applyNumberFormat="1" applyFont="1" applyBorder="1" applyAlignment="1" applyProtection="1">
      <alignment horizontal="center" vertical="center" wrapText="1"/>
      <protection hidden="1"/>
    </xf>
    <xf numFmtId="2" fontId="49" fillId="10" borderId="25" xfId="10" applyNumberFormat="1" applyFont="1" applyBorder="1" applyAlignment="1" applyProtection="1">
      <alignment horizontal="center" vertical="center"/>
      <protection hidden="1"/>
    </xf>
    <xf numFmtId="0" fontId="58" fillId="37" borderId="0" xfId="0" applyFont="1" applyFill="1"/>
    <xf numFmtId="0" fontId="62" fillId="0" borderId="0" xfId="0" applyFont="1" applyProtection="1">
      <protection hidden="1"/>
    </xf>
    <xf numFmtId="0" fontId="62" fillId="0" borderId="0" xfId="0" applyFont="1"/>
    <xf numFmtId="0" fontId="63" fillId="0" borderId="28" xfId="0" applyFont="1" applyBorder="1" applyAlignment="1" applyProtection="1">
      <alignment horizontal="center"/>
    </xf>
    <xf numFmtId="0" fontId="63" fillId="0" borderId="42" xfId="0" applyFont="1" applyBorder="1" applyAlignment="1" applyProtection="1">
      <alignment horizontal="center"/>
    </xf>
    <xf numFmtId="0" fontId="63" fillId="0" borderId="32" xfId="0" applyFont="1" applyBorder="1" applyAlignment="1" applyProtection="1">
      <alignment horizontal="center"/>
    </xf>
    <xf numFmtId="0" fontId="63" fillId="0" borderId="28" xfId="0" applyFont="1" applyFill="1" applyBorder="1" applyAlignment="1" applyProtection="1">
      <alignment horizontal="center"/>
    </xf>
    <xf numFmtId="0" fontId="63" fillId="0" borderId="36" xfId="0" applyFont="1" applyFill="1" applyBorder="1" applyAlignment="1" applyProtection="1">
      <alignment horizontal="center"/>
    </xf>
    <xf numFmtId="0" fontId="64" fillId="0" borderId="0" xfId="0" applyFont="1" applyProtection="1">
      <protection hidden="1"/>
    </xf>
    <xf numFmtId="0" fontId="64" fillId="0" borderId="0" xfId="47" applyFont="1" applyFill="1" applyProtection="1">
      <protection hidden="1"/>
    </xf>
    <xf numFmtId="0" fontId="45" fillId="31" borderId="17" xfId="39" applyFont="1" applyBorder="1" applyAlignment="1">
      <alignment horizontal="center"/>
    </xf>
    <xf numFmtId="0" fontId="63" fillId="0" borderId="28" xfId="0" applyFont="1" applyBorder="1" applyAlignment="1">
      <alignment horizontal="center"/>
    </xf>
    <xf numFmtId="0" fontId="63" fillId="0" borderId="28" xfId="0" applyFont="1" applyBorder="1" applyAlignment="1" applyProtection="1">
      <alignment horizontal="center" vertical="center"/>
      <protection hidden="1"/>
    </xf>
    <xf numFmtId="1" fontId="49" fillId="32" borderId="35" xfId="44" applyNumberFormat="1" applyFont="1" applyBorder="1" applyAlignment="1" applyProtection="1">
      <alignment horizontal="center" vertical="center"/>
      <protection locked="0"/>
    </xf>
    <xf numFmtId="0" fontId="57" fillId="38" borderId="77" xfId="50" applyFont="1" applyFill="1" applyBorder="1" applyAlignment="1"/>
    <xf numFmtId="2" fontId="71" fillId="37" borderId="55" xfId="0" applyNumberFormat="1" applyFont="1" applyFill="1" applyBorder="1" applyAlignment="1" applyProtection="1">
      <alignment horizontal="left" vertical="top"/>
      <protection hidden="1"/>
    </xf>
    <xf numFmtId="0" fontId="71" fillId="37" borderId="55" xfId="0" applyFont="1" applyFill="1" applyBorder="1" applyAlignment="1" applyProtection="1">
      <alignment horizontal="left" vertical="top"/>
    </xf>
    <xf numFmtId="0" fontId="58" fillId="37" borderId="0" xfId="47" applyFont="1" applyFill="1" applyProtection="1">
      <protection hidden="1"/>
    </xf>
    <xf numFmtId="2" fontId="49" fillId="10" borderId="24" xfId="10" applyNumberFormat="1" applyFont="1" applyBorder="1" applyAlignment="1" applyProtection="1">
      <alignment horizontal="center"/>
      <protection locked="0"/>
    </xf>
    <xf numFmtId="2" fontId="49" fillId="10" borderId="26" xfId="10" applyNumberFormat="1" applyFont="1" applyBorder="1" applyAlignment="1" applyProtection="1">
      <alignment horizontal="center"/>
      <protection locked="0"/>
    </xf>
    <xf numFmtId="0" fontId="49" fillId="38" borderId="48" xfId="44" applyFont="1" applyFill="1" applyBorder="1" applyAlignment="1" applyProtection="1">
      <alignment horizontal="center" vertical="center"/>
      <protection hidden="1"/>
    </xf>
    <xf numFmtId="2" fontId="49" fillId="10" borderId="35" xfId="10" applyNumberFormat="1" applyFont="1" applyBorder="1" applyAlignment="1" applyProtection="1">
      <alignment horizontal="center" vertical="center" wrapText="1"/>
    </xf>
    <xf numFmtId="2" fontId="49" fillId="32" borderId="4" xfId="44" applyNumberFormat="1" applyFont="1" applyBorder="1" applyAlignment="1" applyProtection="1">
      <alignment horizontal="center" vertical="center"/>
      <protection locked="0"/>
    </xf>
    <xf numFmtId="2" fontId="49" fillId="32" borderId="1" xfId="44" applyNumberFormat="1" applyFont="1" applyBorder="1" applyAlignment="1" applyProtection="1">
      <alignment horizontal="center" vertical="center"/>
      <protection locked="0"/>
    </xf>
    <xf numFmtId="165" fontId="41" fillId="29" borderId="67" xfId="50" applyNumberFormat="1" applyProtection="1">
      <protection hidden="1"/>
    </xf>
    <xf numFmtId="0" fontId="49" fillId="38" borderId="46" xfId="10" applyFont="1" applyFill="1" applyBorder="1" applyAlignment="1" applyProtection="1">
      <alignment horizontal="center" vertical="center" wrapText="1"/>
      <protection hidden="1"/>
    </xf>
    <xf numFmtId="0" fontId="49" fillId="38" borderId="4" xfId="10" applyFont="1" applyFill="1" applyBorder="1" applyAlignment="1" applyProtection="1">
      <alignment horizontal="center" vertical="center" wrapText="1"/>
      <protection hidden="1"/>
    </xf>
    <xf numFmtId="0" fontId="49" fillId="38" borderId="47" xfId="10" applyFont="1" applyFill="1" applyBorder="1" applyAlignment="1" applyProtection="1">
      <alignment horizontal="center" vertical="center" wrapText="1"/>
      <protection hidden="1"/>
    </xf>
    <xf numFmtId="2" fontId="49" fillId="32" borderId="47" xfId="44" applyNumberFormat="1" applyFont="1" applyBorder="1" applyAlignment="1" applyProtection="1">
      <alignment horizontal="center" vertical="center"/>
      <protection locked="0"/>
    </xf>
    <xf numFmtId="2" fontId="49" fillId="45" borderId="36" xfId="44" applyNumberFormat="1" applyFont="1" applyFill="1" applyBorder="1" applyAlignment="1" applyProtection="1">
      <alignment horizontal="center" vertical="center"/>
      <protection locked="0"/>
    </xf>
    <xf numFmtId="1" fontId="49" fillId="45" borderId="28" xfId="44" applyNumberFormat="1" applyFont="1" applyFill="1" applyBorder="1" applyAlignment="1" applyProtection="1">
      <alignment horizontal="center" vertical="center"/>
      <protection locked="0"/>
    </xf>
    <xf numFmtId="17" fontId="70" fillId="37" borderId="28" xfId="0" applyNumberFormat="1" applyFont="1" applyFill="1" applyBorder="1" applyAlignment="1" applyProtection="1">
      <alignment horizontal="center" vertical="center"/>
    </xf>
    <xf numFmtId="2" fontId="41" fillId="29" borderId="111" xfId="50" applyNumberFormat="1" applyBorder="1" applyProtection="1">
      <protection hidden="1"/>
    </xf>
    <xf numFmtId="0" fontId="28" fillId="10" borderId="3" xfId="11" applyBorder="1" applyProtection="1">
      <protection hidden="1"/>
    </xf>
    <xf numFmtId="165" fontId="41" fillId="29" borderId="3" xfId="50" applyNumberFormat="1" applyBorder="1" applyProtection="1">
      <protection hidden="1"/>
    </xf>
    <xf numFmtId="165" fontId="41" fillId="46" borderId="3" xfId="50" applyNumberFormat="1" applyFill="1" applyBorder="1" applyProtection="1">
      <protection hidden="1"/>
    </xf>
    <xf numFmtId="0" fontId="6" fillId="46" borderId="3" xfId="11" applyFont="1" applyFill="1" applyBorder="1" applyProtection="1">
      <protection hidden="1"/>
    </xf>
    <xf numFmtId="0" fontId="5" fillId="10" borderId="3" xfId="11" applyFont="1" applyBorder="1" applyProtection="1">
      <protection hidden="1"/>
    </xf>
    <xf numFmtId="0" fontId="4" fillId="10" borderId="3" xfId="11" applyFont="1" applyBorder="1" applyProtection="1">
      <protection hidden="1"/>
    </xf>
    <xf numFmtId="174" fontId="38" fillId="47" borderId="28" xfId="44" applyNumberFormat="1" applyFont="1" applyFill="1" applyBorder="1" applyAlignment="1" applyProtection="1">
      <alignment horizontal="center"/>
      <protection locked="0"/>
    </xf>
    <xf numFmtId="18" fontId="38" fillId="47" borderId="28" xfId="44" applyNumberFormat="1" applyFont="1" applyFill="1" applyBorder="1" applyAlignment="1" applyProtection="1">
      <alignment horizontal="center"/>
      <protection locked="0"/>
    </xf>
    <xf numFmtId="173" fontId="38" fillId="47" borderId="28" xfId="44" applyNumberFormat="1" applyFont="1" applyFill="1" applyBorder="1" applyAlignment="1" applyProtection="1">
      <alignment horizontal="center" vertical="center"/>
      <protection locked="0"/>
    </xf>
    <xf numFmtId="0" fontId="38" fillId="47" borderId="28" xfId="44" applyFont="1" applyFill="1" applyBorder="1" applyAlignment="1" applyProtection="1">
      <alignment horizontal="center"/>
      <protection locked="0"/>
    </xf>
    <xf numFmtId="0" fontId="38" fillId="47" borderId="27" xfId="44" applyFont="1" applyFill="1" applyBorder="1" applyAlignment="1" applyProtection="1">
      <alignment horizontal="center"/>
      <protection locked="0"/>
    </xf>
    <xf numFmtId="0" fontId="38" fillId="47" borderId="107" xfId="44" applyFont="1" applyFill="1" applyBorder="1" applyAlignment="1" applyProtection="1">
      <alignment horizontal="center" vertical="center"/>
      <protection locked="0"/>
    </xf>
    <xf numFmtId="0" fontId="38" fillId="47" borderId="3" xfId="44" applyFont="1" applyFill="1" applyBorder="1" applyAlignment="1" applyProtection="1">
      <alignment horizontal="center" vertical="center"/>
      <protection locked="0"/>
    </xf>
    <xf numFmtId="0" fontId="38" fillId="47" borderId="37" xfId="44" applyFont="1" applyFill="1" applyBorder="1" applyAlignment="1" applyProtection="1">
      <alignment horizontal="center" vertical="center"/>
      <protection locked="0"/>
    </xf>
    <xf numFmtId="0" fontId="38" fillId="47" borderId="16" xfId="44" applyFont="1" applyFill="1" applyBorder="1" applyAlignment="1" applyProtection="1">
      <alignment horizontal="center" vertical="center"/>
      <protection locked="0"/>
    </xf>
    <xf numFmtId="0" fontId="38" fillId="47" borderId="18" xfId="44" applyFont="1" applyFill="1" applyBorder="1" applyAlignment="1" applyProtection="1">
      <alignment horizontal="center" vertical="center"/>
      <protection locked="0"/>
    </xf>
    <xf numFmtId="0" fontId="62" fillId="48" borderId="0" xfId="0" applyFont="1" applyFill="1"/>
    <xf numFmtId="0" fontId="62" fillId="48" borderId="0" xfId="0" applyFont="1" applyFill="1" applyBorder="1" applyAlignment="1">
      <alignment horizontal="center"/>
    </xf>
    <xf numFmtId="0" fontId="62" fillId="48" borderId="0" xfId="0" applyFont="1" applyFill="1" applyBorder="1"/>
    <xf numFmtId="0" fontId="62" fillId="48" borderId="0" xfId="0" applyFont="1" applyFill="1" applyProtection="1">
      <protection hidden="1"/>
    </xf>
    <xf numFmtId="0" fontId="65" fillId="48" borderId="0" xfId="0" applyFont="1" applyFill="1" applyProtection="1">
      <protection hidden="1"/>
    </xf>
    <xf numFmtId="0" fontId="62" fillId="48" borderId="0" xfId="0" applyFont="1" applyFill="1" applyBorder="1" applyAlignment="1" applyProtection="1">
      <alignment horizontal="center"/>
      <protection hidden="1"/>
    </xf>
    <xf numFmtId="0" fontId="8" fillId="48" borderId="0" xfId="14" applyFont="1" applyFill="1" applyProtection="1">
      <protection hidden="1"/>
    </xf>
    <xf numFmtId="0" fontId="67" fillId="48" borderId="0" xfId="14" applyFont="1" applyFill="1" applyProtection="1">
      <protection hidden="1"/>
    </xf>
    <xf numFmtId="0" fontId="29" fillId="49" borderId="37" xfId="32" applyFont="1" applyFill="1" applyBorder="1" applyAlignment="1" applyProtection="1">
      <alignment horizontal="center"/>
      <protection hidden="1"/>
    </xf>
    <xf numFmtId="0" fontId="29" fillId="49" borderId="37" xfId="32" applyFont="1" applyFill="1" applyBorder="1" applyAlignment="1" applyProtection="1">
      <alignment horizontal="center" vertical="center"/>
      <protection hidden="1"/>
    </xf>
    <xf numFmtId="2" fontId="29" fillId="49" borderId="35" xfId="32" applyNumberFormat="1" applyFont="1" applyFill="1" applyBorder="1" applyAlignment="1" applyProtection="1">
      <alignment horizontal="center" vertical="center"/>
      <protection hidden="1"/>
    </xf>
    <xf numFmtId="2" fontId="34" fillId="50" borderId="108" xfId="39" applyNumberFormat="1" applyFont="1" applyFill="1" applyBorder="1" applyAlignment="1" applyProtection="1">
      <alignment horizontal="center"/>
      <protection hidden="1"/>
    </xf>
    <xf numFmtId="2" fontId="34" fillId="50" borderId="35" xfId="39" applyNumberFormat="1" applyFont="1" applyFill="1" applyBorder="1" applyAlignment="1" applyProtection="1">
      <alignment horizontal="center"/>
      <protection hidden="1"/>
    </xf>
    <xf numFmtId="2" fontId="34" fillId="50" borderId="17" xfId="39" applyNumberFormat="1" applyFont="1" applyFill="1" applyBorder="1" applyAlignment="1" applyProtection="1">
      <alignment horizontal="center"/>
      <protection hidden="1"/>
    </xf>
    <xf numFmtId="0" fontId="70" fillId="37" borderId="36" xfId="0" applyFont="1" applyFill="1" applyBorder="1" applyAlignment="1" applyProtection="1">
      <alignment horizontal="centerContinuous" vertical="center" wrapText="1"/>
    </xf>
    <xf numFmtId="0" fontId="0" fillId="37" borderId="0" xfId="0" applyFill="1" applyAlignment="1" applyProtection="1">
      <alignment horizontal="centerContinuous" vertical="center" wrapText="1"/>
    </xf>
    <xf numFmtId="0" fontId="70" fillId="44" borderId="31" xfId="0" applyFont="1" applyFill="1" applyBorder="1" applyAlignment="1" applyProtection="1">
      <alignment horizontal="centerContinuous" vertical="center" wrapText="1"/>
    </xf>
    <xf numFmtId="0" fontId="70" fillId="37" borderId="28" xfId="0" applyFont="1" applyFill="1" applyBorder="1" applyAlignment="1" applyProtection="1">
      <alignment horizontal="centerContinuous" vertical="center" wrapText="1"/>
    </xf>
    <xf numFmtId="169" fontId="50" fillId="29" borderId="35" xfId="50" applyNumberFormat="1" applyFont="1" applyBorder="1" applyAlignment="1" applyProtection="1">
      <alignment horizontal="center" vertical="center"/>
      <protection hidden="1"/>
    </xf>
    <xf numFmtId="167" fontId="50" fillId="29" borderId="37" xfId="50" applyNumberFormat="1" applyFont="1" applyBorder="1" applyAlignment="1" applyProtection="1">
      <alignment horizontal="center" vertical="center"/>
      <protection hidden="1"/>
    </xf>
    <xf numFmtId="167" fontId="50" fillId="29" borderId="38" xfId="50" applyNumberFormat="1" applyFont="1" applyBorder="1" applyAlignment="1" applyProtection="1">
      <alignment horizontal="center" vertical="center"/>
      <protection hidden="1"/>
    </xf>
    <xf numFmtId="2" fontId="56" fillId="32" borderId="26" xfId="44" applyNumberFormat="1" applyFont="1" applyBorder="1" applyAlignment="1" applyProtection="1">
      <alignment horizontal="center" vertical="center"/>
      <protection locked="0"/>
    </xf>
    <xf numFmtId="169" fontId="50" fillId="38" borderId="22" xfId="50" applyNumberFormat="1" applyFont="1" applyFill="1" applyBorder="1" applyAlignment="1" applyProtection="1">
      <alignment horizontal="center" vertical="center"/>
      <protection hidden="1"/>
    </xf>
    <xf numFmtId="169" fontId="50" fillId="29" borderId="19" xfId="50" applyNumberFormat="1" applyFont="1" applyBorder="1" applyAlignment="1" applyProtection="1">
      <alignment horizontal="center" vertical="center"/>
      <protection hidden="1"/>
    </xf>
    <xf numFmtId="2" fontId="56" fillId="32" borderId="24" xfId="44" applyNumberFormat="1" applyFont="1" applyBorder="1" applyAlignment="1" applyProtection="1">
      <alignment horizontal="center" vertical="center"/>
      <protection locked="0"/>
    </xf>
    <xf numFmtId="167" fontId="50" fillId="38" borderId="23" xfId="50" applyNumberFormat="1" applyFont="1" applyFill="1" applyBorder="1" applyAlignment="1" applyProtection="1">
      <alignment horizontal="center" vertical="center"/>
      <protection hidden="1"/>
    </xf>
    <xf numFmtId="14" fontId="58" fillId="37" borderId="0" xfId="0" applyNumberFormat="1" applyFont="1" applyFill="1" applyProtection="1">
      <protection hidden="1"/>
    </xf>
    <xf numFmtId="0" fontId="0" fillId="0" borderId="0" xfId="0" applyAlignment="1" applyProtection="1">
      <alignment horizontal="center"/>
      <protection hidden="1"/>
    </xf>
    <xf numFmtId="167" fontId="50" fillId="29" borderId="31" xfId="50" applyNumberFormat="1" applyFont="1" applyBorder="1" applyAlignment="1" applyProtection="1">
      <alignment horizontal="center" vertical="center" wrapText="1"/>
      <protection hidden="1"/>
    </xf>
    <xf numFmtId="167" fontId="50" fillId="29" borderId="25" xfId="50" applyNumberFormat="1" applyFont="1" applyBorder="1" applyAlignment="1" applyProtection="1">
      <alignment horizontal="center" vertical="center" wrapText="1"/>
      <protection hidden="1"/>
    </xf>
    <xf numFmtId="0" fontId="48" fillId="37" borderId="0" xfId="47" applyFont="1" applyFill="1" applyAlignment="1" applyProtection="1">
      <protection hidden="1"/>
    </xf>
    <xf numFmtId="2" fontId="48" fillId="37" borderId="0" xfId="47" applyNumberFormat="1" applyFont="1" applyFill="1" applyAlignment="1" applyProtection="1">
      <protection hidden="1"/>
    </xf>
    <xf numFmtId="0" fontId="48" fillId="37" borderId="0" xfId="0" applyFont="1" applyFill="1" applyBorder="1" applyProtection="1">
      <protection hidden="1"/>
    </xf>
    <xf numFmtId="0" fontId="75" fillId="37" borderId="0" xfId="0" applyFont="1" applyFill="1" applyBorder="1" applyAlignment="1" applyProtection="1">
      <protection hidden="1"/>
    </xf>
    <xf numFmtId="2" fontId="76" fillId="37" borderId="0" xfId="0" applyNumberFormat="1" applyFont="1" applyFill="1" applyProtection="1">
      <protection hidden="1"/>
    </xf>
    <xf numFmtId="0" fontId="75" fillId="0" borderId="0" xfId="0" applyFont="1" applyAlignment="1">
      <alignment vertical="center"/>
    </xf>
    <xf numFmtId="0" fontId="38" fillId="47" borderId="106" xfId="44" applyFont="1" applyFill="1" applyBorder="1" applyAlignment="1" applyProtection="1">
      <alignment horizontal="center" vertical="center"/>
      <protection locked="0"/>
    </xf>
    <xf numFmtId="0" fontId="38" fillId="47" borderId="3" xfId="44" applyFont="1" applyFill="1" applyBorder="1" applyAlignment="1" applyProtection="1">
      <alignment horizontal="center" vertical="center"/>
      <protection locked="0"/>
    </xf>
    <xf numFmtId="0" fontId="38" fillId="47" borderId="37" xfId="44" applyFont="1" applyFill="1" applyBorder="1" applyAlignment="1" applyProtection="1">
      <alignment horizontal="center" vertical="center"/>
      <protection locked="0"/>
    </xf>
    <xf numFmtId="0" fontId="22" fillId="51" borderId="0" xfId="0" applyFont="1" applyFill="1" applyBorder="1" applyProtection="1"/>
    <xf numFmtId="0" fontId="78" fillId="51" borderId="0" xfId="0" applyFont="1" applyFill="1" applyBorder="1" applyProtection="1"/>
    <xf numFmtId="0" fontId="79" fillId="51" borderId="0" xfId="0" applyFont="1" applyFill="1" applyBorder="1" applyAlignment="1" applyProtection="1">
      <alignment vertical="center"/>
    </xf>
    <xf numFmtId="0" fontId="80" fillId="51" borderId="3" xfId="0" applyFont="1" applyFill="1" applyBorder="1" applyAlignment="1" applyProtection="1">
      <alignment horizontal="left" vertical="top" wrapText="1"/>
    </xf>
    <xf numFmtId="0" fontId="81" fillId="51" borderId="3" xfId="0" applyFont="1" applyFill="1" applyBorder="1" applyAlignment="1" applyProtection="1">
      <alignment vertical="center" wrapText="1"/>
      <protection locked="0"/>
    </xf>
    <xf numFmtId="0" fontId="80" fillId="51" borderId="0" xfId="0" applyFont="1" applyFill="1" applyBorder="1" applyAlignment="1" applyProtection="1">
      <alignment vertical="center" wrapText="1"/>
    </xf>
    <xf numFmtId="0" fontId="82" fillId="51" borderId="0" xfId="0" applyFont="1" applyFill="1" applyBorder="1" applyAlignment="1" applyProtection="1">
      <alignment vertical="center" wrapText="1"/>
    </xf>
    <xf numFmtId="0" fontId="80" fillId="51" borderId="107" xfId="0" applyFont="1" applyFill="1" applyBorder="1" applyAlignment="1" applyProtection="1">
      <alignment horizontal="left" vertical="top" wrapText="1"/>
    </xf>
    <xf numFmtId="0" fontId="81" fillId="51" borderId="107" xfId="0" applyFont="1" applyFill="1" applyBorder="1" applyAlignment="1" applyProtection="1">
      <alignment vertical="center" wrapText="1"/>
      <protection locked="0"/>
    </xf>
    <xf numFmtId="0" fontId="83" fillId="51" borderId="0" xfId="0" applyFont="1" applyFill="1" applyBorder="1" applyProtection="1"/>
    <xf numFmtId="0" fontId="80" fillId="51" borderId="0" xfId="0" applyFont="1" applyFill="1" applyBorder="1" applyAlignment="1" applyProtection="1">
      <alignment horizontal="left" vertical="top" wrapText="1"/>
    </xf>
    <xf numFmtId="0" fontId="84" fillId="51" borderId="0" xfId="0" applyFont="1" applyFill="1" applyBorder="1" applyAlignment="1" applyProtection="1">
      <alignment vertical="center" wrapText="1"/>
    </xf>
    <xf numFmtId="0" fontId="71" fillId="37" borderId="0" xfId="0" applyFont="1" applyFill="1" applyBorder="1" applyAlignment="1" applyProtection="1">
      <alignment wrapText="1"/>
    </xf>
    <xf numFmtId="0" fontId="38" fillId="50" borderId="41" xfId="44" applyFont="1" applyFill="1" applyBorder="1" applyAlignment="1" applyProtection="1">
      <alignment horizontal="center"/>
      <protection hidden="1"/>
    </xf>
    <xf numFmtId="2" fontId="38" fillId="50" borderId="14" xfId="44" applyNumberFormat="1" applyFont="1" applyFill="1" applyBorder="1" applyAlignment="1" applyProtection="1">
      <alignment horizontal="center"/>
      <protection hidden="1"/>
    </xf>
    <xf numFmtId="0" fontId="38" fillId="50" borderId="18" xfId="44" applyFont="1" applyFill="1" applyBorder="1" applyAlignment="1" applyProtection="1">
      <alignment horizontal="center"/>
      <protection hidden="1"/>
    </xf>
    <xf numFmtId="2" fontId="49" fillId="10" borderId="42" xfId="10" applyNumberFormat="1" applyFont="1" applyBorder="1" applyAlignment="1">
      <alignment horizontal="center" vertical="center"/>
    </xf>
    <xf numFmtId="2" fontId="49" fillId="10" borderId="55" xfId="10" applyNumberFormat="1" applyFont="1" applyBorder="1" applyAlignment="1">
      <alignment horizontal="center" vertical="center"/>
    </xf>
    <xf numFmtId="2" fontId="49" fillId="10" borderId="36" xfId="10" applyNumberFormat="1" applyFont="1" applyBorder="1" applyAlignment="1">
      <alignment horizontal="center" vertical="center"/>
    </xf>
    <xf numFmtId="0" fontId="61" fillId="10" borderId="22" xfId="10" applyFont="1" applyBorder="1" applyAlignment="1" applyProtection="1">
      <alignment horizontal="center" vertical="center" textRotation="90"/>
      <protection hidden="1"/>
    </xf>
    <xf numFmtId="0" fontId="61" fillId="10" borderId="19" xfId="10" applyFont="1" applyBorder="1" applyAlignment="1" applyProtection="1">
      <alignment horizontal="center" vertical="center" textRotation="90"/>
      <protection hidden="1"/>
    </xf>
    <xf numFmtId="0" fontId="61" fillId="10" borderId="30" xfId="10" applyFont="1" applyBorder="1" applyAlignment="1" applyProtection="1">
      <alignment horizontal="center" vertical="center" textRotation="90"/>
      <protection hidden="1"/>
    </xf>
    <xf numFmtId="0" fontId="61" fillId="10" borderId="29" xfId="10" applyFont="1" applyBorder="1" applyAlignment="1" applyProtection="1">
      <alignment horizontal="center" vertical="center" textRotation="90"/>
      <protection hidden="1"/>
    </xf>
    <xf numFmtId="2" fontId="50" fillId="10" borderId="23" xfId="10" applyNumberFormat="1" applyFont="1" applyBorder="1" applyAlignment="1" applyProtection="1">
      <alignment horizontal="center" vertical="center" wrapText="1"/>
    </xf>
    <xf numFmtId="2" fontId="50" fillId="10" borderId="22" xfId="10" applyNumberFormat="1" applyFont="1" applyBorder="1" applyAlignment="1" applyProtection="1">
      <alignment horizontal="center" vertical="center" wrapText="1"/>
    </xf>
    <xf numFmtId="2" fontId="50" fillId="10" borderId="38" xfId="10" applyNumberFormat="1" applyFont="1" applyBorder="1" applyAlignment="1" applyProtection="1">
      <alignment horizontal="center" vertical="center" wrapText="1"/>
    </xf>
    <xf numFmtId="2" fontId="50" fillId="10" borderId="19" xfId="10" applyNumberFormat="1" applyFont="1" applyBorder="1" applyAlignment="1" applyProtection="1">
      <alignment horizontal="center" vertical="center" wrapText="1"/>
    </xf>
    <xf numFmtId="2" fontId="50" fillId="10" borderId="45" xfId="10" applyNumberFormat="1" applyFont="1" applyBorder="1" applyAlignment="1" applyProtection="1">
      <alignment horizontal="center" vertical="center" wrapText="1"/>
    </xf>
    <xf numFmtId="2" fontId="50" fillId="10" borderId="27" xfId="10" applyNumberFormat="1" applyFont="1" applyBorder="1" applyAlignment="1" applyProtection="1">
      <alignment horizontal="center" vertical="center" wrapText="1"/>
    </xf>
    <xf numFmtId="0" fontId="49" fillId="10" borderId="46" xfId="10" applyFont="1" applyBorder="1" applyAlignment="1" applyProtection="1">
      <alignment horizontal="center" vertical="center" wrapText="1"/>
    </xf>
    <xf numFmtId="0" fontId="49" fillId="10" borderId="4" xfId="10" applyFont="1" applyBorder="1" applyAlignment="1" applyProtection="1">
      <alignment horizontal="center" vertical="center" wrapText="1"/>
    </xf>
    <xf numFmtId="0" fontId="49" fillId="10" borderId="47" xfId="10" applyFont="1" applyBorder="1" applyAlignment="1" applyProtection="1">
      <alignment horizontal="center" vertical="center" wrapText="1"/>
    </xf>
    <xf numFmtId="2" fontId="50" fillId="10" borderId="23" xfId="10" applyNumberFormat="1" applyFont="1" applyBorder="1" applyAlignment="1">
      <alignment horizontal="center" vertical="center" wrapText="1"/>
    </xf>
    <xf numFmtId="2" fontId="50" fillId="10" borderId="21" xfId="10" applyNumberFormat="1" applyFont="1" applyBorder="1" applyAlignment="1">
      <alignment horizontal="center" vertical="center" wrapText="1"/>
    </xf>
    <xf numFmtId="2" fontId="50" fillId="10" borderId="38" xfId="10" applyNumberFormat="1" applyFont="1" applyBorder="1" applyAlignment="1">
      <alignment horizontal="center" vertical="center" wrapText="1"/>
    </xf>
    <xf numFmtId="2" fontId="50" fillId="10" borderId="0" xfId="10" applyNumberFormat="1" applyFont="1" applyBorder="1" applyAlignment="1">
      <alignment horizontal="center" vertical="center" wrapText="1"/>
    </xf>
    <xf numFmtId="2" fontId="50" fillId="10" borderId="22" xfId="10" applyNumberFormat="1" applyFont="1" applyBorder="1" applyAlignment="1">
      <alignment horizontal="center" vertical="center" wrapText="1"/>
    </xf>
    <xf numFmtId="2" fontId="50" fillId="10" borderId="19" xfId="10" applyNumberFormat="1" applyFont="1" applyBorder="1" applyAlignment="1">
      <alignment horizontal="center" vertical="center" wrapText="1"/>
    </xf>
    <xf numFmtId="0" fontId="49" fillId="10" borderId="24" xfId="10" applyFont="1" applyBorder="1" applyAlignment="1">
      <alignment horizontal="center"/>
    </xf>
    <xf numFmtId="2" fontId="49" fillId="10" borderId="25" xfId="10" applyNumberFormat="1" applyFont="1" applyBorder="1" applyAlignment="1">
      <alignment horizontal="center" vertical="top" wrapText="1"/>
    </xf>
    <xf numFmtId="0" fontId="49" fillId="10" borderId="48" xfId="10" applyFont="1" applyBorder="1" applyAlignment="1" applyProtection="1">
      <alignment horizontal="center" vertical="center" wrapText="1"/>
      <protection hidden="1"/>
    </xf>
    <xf numFmtId="0" fontId="49" fillId="10" borderId="10" xfId="10" applyFont="1" applyBorder="1" applyAlignment="1" applyProtection="1">
      <alignment horizontal="center" vertical="center" wrapText="1"/>
      <protection hidden="1"/>
    </xf>
    <xf numFmtId="0" fontId="49" fillId="10" borderId="49" xfId="10" applyFont="1" applyBorder="1" applyAlignment="1" applyProtection="1">
      <alignment horizontal="center" vertical="center" wrapText="1"/>
      <protection hidden="1"/>
    </xf>
    <xf numFmtId="0" fontId="49" fillId="38" borderId="25" xfId="10" applyFont="1" applyFill="1" applyBorder="1" applyAlignment="1" applyProtection="1">
      <alignment horizontal="center" vertical="center" wrapText="1"/>
      <protection hidden="1"/>
    </xf>
    <xf numFmtId="0" fontId="49" fillId="10" borderId="26" xfId="10" applyFont="1" applyBorder="1" applyAlignment="1">
      <alignment horizontal="center" vertical="center" wrapText="1"/>
    </xf>
    <xf numFmtId="2" fontId="55" fillId="10" borderId="25" xfId="10" applyNumberFormat="1" applyFont="1" applyBorder="1" applyAlignment="1">
      <alignment horizontal="center"/>
    </xf>
    <xf numFmtId="2" fontId="49" fillId="10" borderId="26" xfId="10" applyNumberFormat="1" applyFont="1" applyBorder="1" applyAlignment="1" applyProtection="1">
      <alignment horizontal="center" vertical="center" wrapText="1"/>
    </xf>
    <xf numFmtId="2" fontId="49" fillId="32" borderId="51" xfId="44" applyNumberFormat="1" applyFont="1" applyBorder="1" applyAlignment="1" applyProtection="1">
      <alignment horizontal="center" vertical="center"/>
      <protection locked="0"/>
    </xf>
    <xf numFmtId="2" fontId="49" fillId="32" borderId="26" xfId="44" applyNumberFormat="1" applyFont="1" applyBorder="1" applyAlignment="1" applyProtection="1">
      <alignment horizontal="center" vertical="center"/>
      <protection locked="0"/>
    </xf>
    <xf numFmtId="2" fontId="49" fillId="10" borderId="4" xfId="10" applyNumberFormat="1" applyFont="1" applyBorder="1" applyAlignment="1">
      <alignment horizontal="center"/>
    </xf>
    <xf numFmtId="2" fontId="49" fillId="10" borderId="47" xfId="10" applyNumberFormat="1" applyFont="1" applyBorder="1" applyAlignment="1">
      <alignment horizontal="center"/>
    </xf>
    <xf numFmtId="1" fontId="56" fillId="32" borderId="25" xfId="44" applyNumberFormat="1" applyFont="1" applyBorder="1" applyAlignment="1" applyProtection="1">
      <alignment horizontal="center"/>
      <protection locked="0"/>
    </xf>
    <xf numFmtId="167" fontId="56" fillId="32" borderId="24" xfId="44" applyNumberFormat="1" applyFont="1" applyBorder="1" applyAlignment="1" applyProtection="1">
      <alignment horizontal="center"/>
      <protection locked="0"/>
    </xf>
    <xf numFmtId="2" fontId="49" fillId="10" borderId="54" xfId="10" applyNumberFormat="1" applyFont="1" applyBorder="1" applyAlignment="1">
      <alignment horizontal="center"/>
    </xf>
    <xf numFmtId="2" fontId="49" fillId="10" borderId="24" xfId="10" applyNumberFormat="1" applyFont="1" applyBorder="1" applyAlignment="1">
      <alignment horizontal="center"/>
    </xf>
    <xf numFmtId="2" fontId="54" fillId="10" borderId="25" xfId="10" applyNumberFormat="1" applyFont="1" applyBorder="1" applyAlignment="1">
      <alignment horizontal="center"/>
    </xf>
    <xf numFmtId="2" fontId="49" fillId="10" borderId="34" xfId="10" applyNumberFormat="1" applyFont="1" applyBorder="1" applyAlignment="1">
      <alignment horizontal="center"/>
    </xf>
    <xf numFmtId="0" fontId="49" fillId="10" borderId="23" xfId="11" applyFont="1" applyBorder="1" applyAlignment="1">
      <alignment horizontal="center" wrapText="1"/>
    </xf>
    <xf numFmtId="0" fontId="49" fillId="10" borderId="21" xfId="11" applyFont="1" applyBorder="1" applyAlignment="1">
      <alignment horizontal="center" wrapText="1"/>
    </xf>
    <xf numFmtId="0" fontId="49" fillId="10" borderId="22" xfId="11" applyFont="1" applyBorder="1" applyAlignment="1">
      <alignment horizontal="center" wrapText="1"/>
    </xf>
    <xf numFmtId="0" fontId="49" fillId="10" borderId="37" xfId="11" applyFont="1" applyBorder="1" applyAlignment="1">
      <alignment horizontal="center" wrapText="1"/>
    </xf>
    <xf numFmtId="0" fontId="49" fillId="10" borderId="3" xfId="11" applyFont="1" applyBorder="1" applyAlignment="1">
      <alignment horizontal="center" wrapText="1"/>
    </xf>
    <xf numFmtId="0" fontId="49" fillId="10" borderId="35" xfId="11" applyFont="1" applyBorder="1" applyAlignment="1">
      <alignment horizontal="center" wrapText="1"/>
    </xf>
    <xf numFmtId="2" fontId="50" fillId="29" borderId="46" xfId="50" applyNumberFormat="1" applyFont="1" applyBorder="1" applyAlignment="1" applyProtection="1">
      <alignment horizontal="center"/>
      <protection hidden="1"/>
    </xf>
    <xf numFmtId="2" fontId="50" fillId="29" borderId="47" xfId="50" applyNumberFormat="1" applyFont="1" applyBorder="1" applyAlignment="1" applyProtection="1">
      <alignment horizontal="center"/>
      <protection hidden="1"/>
    </xf>
    <xf numFmtId="0" fontId="49" fillId="10" borderId="51" xfId="10" applyFont="1" applyBorder="1" applyAlignment="1">
      <alignment horizontal="center"/>
    </xf>
    <xf numFmtId="0" fontId="49" fillId="10" borderId="26" xfId="10" applyFont="1" applyBorder="1" applyAlignment="1">
      <alignment horizontal="center"/>
    </xf>
    <xf numFmtId="0" fontId="49" fillId="10" borderId="54" xfId="10" applyFont="1" applyBorder="1" applyAlignment="1">
      <alignment horizontal="center" vertical="center"/>
    </xf>
    <xf numFmtId="0" fontId="49" fillId="10" borderId="24" xfId="10" applyFont="1" applyBorder="1" applyAlignment="1">
      <alignment horizontal="center" vertical="center"/>
    </xf>
    <xf numFmtId="0" fontId="56" fillId="32" borderId="24" xfId="44" applyFont="1" applyBorder="1" applyAlignment="1" applyProtection="1">
      <alignment horizontal="center" vertical="center"/>
      <protection locked="0"/>
    </xf>
    <xf numFmtId="0" fontId="49" fillId="10" borderId="10" xfId="10" applyFont="1" applyBorder="1" applyAlignment="1">
      <alignment horizontal="center"/>
    </xf>
    <xf numFmtId="0" fontId="49" fillId="10" borderId="49" xfId="10" applyFont="1" applyBorder="1" applyAlignment="1">
      <alignment horizontal="center"/>
    </xf>
    <xf numFmtId="0" fontId="49" fillId="10" borderId="20" xfId="10" applyFont="1" applyBorder="1" applyAlignment="1">
      <alignment horizontal="center"/>
    </xf>
    <xf numFmtId="0" fontId="49" fillId="10" borderId="27" xfId="10" applyFont="1" applyBorder="1" applyAlignment="1">
      <alignment horizontal="center"/>
    </xf>
    <xf numFmtId="0" fontId="50" fillId="29" borderId="26" xfId="50" applyFont="1" applyBorder="1" applyAlignment="1" applyProtection="1">
      <alignment horizontal="center"/>
      <protection hidden="1"/>
    </xf>
    <xf numFmtId="2" fontId="49" fillId="10" borderId="34" xfId="10" applyNumberFormat="1" applyFont="1" applyBorder="1" applyAlignment="1">
      <alignment horizontal="center" vertical="center" wrapText="1"/>
    </xf>
    <xf numFmtId="168" fontId="43" fillId="29" borderId="25" xfId="50" applyNumberFormat="1" applyFont="1" applyBorder="1" applyAlignment="1" applyProtection="1">
      <alignment horizontal="center" vertical="center"/>
      <protection hidden="1"/>
    </xf>
    <xf numFmtId="2" fontId="49" fillId="10" borderId="25" xfId="10" applyNumberFormat="1" applyFont="1" applyBorder="1" applyAlignment="1">
      <alignment horizontal="center" vertical="center" wrapText="1"/>
    </xf>
    <xf numFmtId="2" fontId="49" fillId="10" borderId="25" xfId="10" applyNumberFormat="1" applyFont="1" applyBorder="1" applyAlignment="1">
      <alignment horizontal="center" vertical="center"/>
    </xf>
    <xf numFmtId="168" fontId="43" fillId="29" borderId="26" xfId="50" applyNumberFormat="1" applyFont="1" applyBorder="1" applyAlignment="1" applyProtection="1">
      <alignment horizontal="center" vertical="center"/>
      <protection hidden="1"/>
    </xf>
    <xf numFmtId="0" fontId="49" fillId="10" borderId="44" xfId="10" applyFont="1" applyBorder="1" applyAlignment="1" applyProtection="1">
      <alignment horizontal="center" vertical="center"/>
      <protection hidden="1"/>
    </xf>
    <xf numFmtId="0" fontId="49" fillId="10" borderId="51" xfId="10" applyFont="1" applyBorder="1" applyAlignment="1" applyProtection="1">
      <alignment horizontal="center" vertical="center"/>
      <protection hidden="1"/>
    </xf>
    <xf numFmtId="2" fontId="49" fillId="10" borderId="95" xfId="10" applyNumberFormat="1" applyFont="1" applyBorder="1" applyAlignment="1">
      <alignment horizontal="center" wrapText="1"/>
    </xf>
    <xf numFmtId="2" fontId="49" fillId="10" borderId="42" xfId="10" applyNumberFormat="1" applyFont="1" applyBorder="1" applyAlignment="1">
      <alignment horizontal="center"/>
    </xf>
    <xf numFmtId="2" fontId="49" fillId="10" borderId="36" xfId="10" applyNumberFormat="1" applyFont="1" applyBorder="1" applyAlignment="1">
      <alignment horizontal="center"/>
    </xf>
    <xf numFmtId="0" fontId="49" fillId="10" borderId="46" xfId="10" applyFont="1" applyBorder="1" applyAlignment="1">
      <alignment horizontal="center" wrapText="1"/>
    </xf>
    <xf numFmtId="0" fontId="49" fillId="10" borderId="4" xfId="10" applyFont="1" applyBorder="1" applyAlignment="1">
      <alignment horizontal="center" wrapText="1"/>
    </xf>
    <xf numFmtId="0" fontId="49" fillId="10" borderId="47" xfId="10" applyFont="1" applyBorder="1" applyAlignment="1">
      <alignment horizontal="center" wrapText="1"/>
    </xf>
    <xf numFmtId="167" fontId="50" fillId="29" borderId="81" xfId="50" applyNumberFormat="1" applyFont="1" applyBorder="1" applyAlignment="1" applyProtection="1">
      <alignment horizontal="center" vertical="center"/>
      <protection hidden="1"/>
    </xf>
    <xf numFmtId="167" fontId="50" fillId="29" borderId="73" xfId="50" applyNumberFormat="1" applyFont="1" applyBorder="1" applyAlignment="1" applyProtection="1">
      <alignment horizontal="center" vertical="center"/>
      <protection hidden="1"/>
    </xf>
    <xf numFmtId="0" fontId="50" fillId="29" borderId="16" xfId="50" applyFont="1" applyBorder="1" applyAlignment="1" applyProtection="1">
      <alignment horizontal="center" vertical="center"/>
      <protection hidden="1"/>
    </xf>
    <xf numFmtId="0" fontId="50" fillId="29" borderId="17" xfId="50" applyFont="1" applyBorder="1" applyAlignment="1" applyProtection="1">
      <alignment horizontal="center" vertical="center"/>
      <protection hidden="1"/>
    </xf>
    <xf numFmtId="0" fontId="49" fillId="10" borderId="52" xfId="10" applyFont="1" applyBorder="1" applyAlignment="1">
      <alignment horizontal="center" wrapText="1"/>
    </xf>
    <xf numFmtId="0" fontId="49" fillId="10" borderId="53" xfId="10" applyFont="1" applyBorder="1" applyAlignment="1">
      <alignment horizontal="center" wrapText="1"/>
    </xf>
    <xf numFmtId="0" fontId="49" fillId="10" borderId="54" xfId="10" applyFont="1" applyBorder="1" applyAlignment="1">
      <alignment horizontal="center" wrapText="1"/>
    </xf>
    <xf numFmtId="0" fontId="49" fillId="10" borderId="44" xfId="10" applyFont="1" applyBorder="1" applyAlignment="1">
      <alignment horizontal="center" wrapText="1"/>
    </xf>
    <xf numFmtId="0" fontId="49" fillId="10" borderId="50" xfId="10" applyFont="1" applyBorder="1" applyAlignment="1">
      <alignment horizontal="center" wrapText="1"/>
    </xf>
    <xf numFmtId="0" fontId="49" fillId="10" borderId="51" xfId="10" applyFont="1" applyBorder="1" applyAlignment="1">
      <alignment horizontal="center" wrapText="1"/>
    </xf>
    <xf numFmtId="0" fontId="56" fillId="32" borderId="34" xfId="44" applyFont="1" applyBorder="1" applyAlignment="1" applyProtection="1">
      <alignment horizontal="center"/>
      <protection locked="0"/>
    </xf>
    <xf numFmtId="0" fontId="56" fillId="32" borderId="30" xfId="44" applyFont="1" applyBorder="1" applyAlignment="1" applyProtection="1">
      <alignment horizontal="center"/>
      <protection locked="0"/>
    </xf>
    <xf numFmtId="0" fontId="56" fillId="32" borderId="29" xfId="44" applyFont="1" applyBorder="1" applyAlignment="1" applyProtection="1">
      <alignment horizontal="center"/>
      <protection locked="0"/>
    </xf>
    <xf numFmtId="0" fontId="49" fillId="10" borderId="34" xfId="10" applyFont="1" applyBorder="1" applyAlignment="1">
      <alignment horizontal="center" vertical="center"/>
    </xf>
    <xf numFmtId="0" fontId="49" fillId="10" borderId="30" xfId="10" applyFont="1" applyBorder="1" applyAlignment="1">
      <alignment horizontal="center" vertical="center"/>
    </xf>
    <xf numFmtId="0" fontId="49" fillId="10" borderId="29" xfId="10" applyFont="1" applyBorder="1" applyAlignment="1">
      <alignment horizontal="center" vertical="center"/>
    </xf>
    <xf numFmtId="0" fontId="56" fillId="32" borderId="38" xfId="44" applyFont="1" applyBorder="1" applyAlignment="1" applyProtection="1">
      <alignment horizontal="center"/>
      <protection locked="0"/>
    </xf>
    <xf numFmtId="0" fontId="56" fillId="32" borderId="19" xfId="44" applyFont="1" applyBorder="1" applyAlignment="1" applyProtection="1">
      <alignment horizontal="center"/>
      <protection locked="0"/>
    </xf>
    <xf numFmtId="0" fontId="49" fillId="10" borderId="23" xfId="10" applyFont="1" applyBorder="1" applyAlignment="1">
      <alignment horizontal="center"/>
    </xf>
    <xf numFmtId="0" fontId="49" fillId="10" borderId="21" xfId="10" applyFont="1" applyBorder="1" applyAlignment="1">
      <alignment horizontal="center"/>
    </xf>
    <xf numFmtId="0" fontId="49" fillId="10" borderId="22" xfId="10" applyFont="1" applyBorder="1" applyAlignment="1">
      <alignment horizontal="center"/>
    </xf>
    <xf numFmtId="0" fontId="50" fillId="29" borderId="24" xfId="50" applyNumberFormat="1" applyFont="1" applyBorder="1" applyAlignment="1" applyProtection="1">
      <alignment horizontal="center" vertical="center"/>
    </xf>
    <xf numFmtId="0" fontId="50" fillId="29" borderId="26" xfId="50" applyNumberFormat="1" applyFont="1" applyBorder="1" applyAlignment="1" applyProtection="1">
      <alignment horizontal="center" vertical="center"/>
    </xf>
    <xf numFmtId="2" fontId="49" fillId="10" borderId="42" xfId="10" applyNumberFormat="1" applyFont="1" applyBorder="1" applyAlignment="1">
      <alignment horizontal="center" wrapText="1"/>
    </xf>
    <xf numFmtId="2" fontId="49" fillId="10" borderId="55" xfId="10" applyNumberFormat="1" applyFont="1" applyBorder="1" applyAlignment="1">
      <alignment horizontal="center" wrapText="1"/>
    </xf>
    <xf numFmtId="2" fontId="49" fillId="10" borderId="36" xfId="10" applyNumberFormat="1" applyFont="1" applyBorder="1" applyAlignment="1">
      <alignment horizontal="center" wrapText="1"/>
    </xf>
    <xf numFmtId="0" fontId="49" fillId="10" borderId="24" xfId="10" applyNumberFormat="1" applyFont="1" applyBorder="1" applyAlignment="1" applyProtection="1">
      <alignment horizontal="center" vertical="center"/>
      <protection locked="0"/>
    </xf>
    <xf numFmtId="0" fontId="49" fillId="10" borderId="26" xfId="10" applyNumberFormat="1" applyFont="1" applyBorder="1" applyAlignment="1" applyProtection="1">
      <alignment horizontal="center" vertical="center"/>
      <protection locked="0"/>
    </xf>
    <xf numFmtId="0" fontId="49" fillId="10" borderId="78" xfId="10" applyFont="1" applyBorder="1" applyAlignment="1">
      <alignment horizontal="center"/>
    </xf>
    <xf numFmtId="0" fontId="49" fillId="10" borderId="79" xfId="10" applyFont="1" applyBorder="1" applyAlignment="1">
      <alignment horizontal="center"/>
    </xf>
    <xf numFmtId="0" fontId="49" fillId="10" borderId="80" xfId="10" applyFont="1" applyBorder="1" applyAlignment="1">
      <alignment horizontal="center"/>
    </xf>
    <xf numFmtId="2" fontId="50" fillId="10" borderId="45" xfId="10" applyNumberFormat="1" applyFont="1" applyBorder="1" applyAlignment="1">
      <alignment horizontal="center" vertical="center" wrapText="1"/>
    </xf>
    <xf numFmtId="2" fontId="50" fillId="10" borderId="27" xfId="10" applyNumberFormat="1" applyFont="1" applyBorder="1" applyAlignment="1">
      <alignment horizontal="center" vertical="center" wrapText="1"/>
    </xf>
    <xf numFmtId="2" fontId="49" fillId="10" borderId="25" xfId="10" applyNumberFormat="1" applyFont="1" applyBorder="1" applyAlignment="1">
      <alignment horizontal="center"/>
    </xf>
    <xf numFmtId="2" fontId="49" fillId="10" borderId="26" xfId="10" applyNumberFormat="1" applyFont="1" applyBorder="1" applyAlignment="1">
      <alignment horizontal="center"/>
    </xf>
    <xf numFmtId="0" fontId="49" fillId="10" borderId="21" xfId="10" applyNumberFormat="1" applyFont="1" applyBorder="1" applyAlignment="1" applyProtection="1">
      <alignment horizontal="center" vertical="center"/>
      <protection locked="0"/>
    </xf>
    <xf numFmtId="0" fontId="49" fillId="10" borderId="0" xfId="10" applyNumberFormat="1" applyFont="1" applyBorder="1" applyAlignment="1" applyProtection="1">
      <alignment horizontal="center" vertical="center"/>
      <protection locked="0"/>
    </xf>
    <xf numFmtId="2" fontId="49" fillId="10" borderId="42" xfId="10" applyNumberFormat="1" applyFont="1" applyBorder="1" applyAlignment="1" applyProtection="1">
      <alignment horizontal="center" vertical="top" wrapText="1"/>
    </xf>
    <xf numFmtId="2" fontId="49" fillId="10" borderId="55" xfId="10" applyNumberFormat="1" applyFont="1" applyBorder="1" applyAlignment="1" applyProtection="1">
      <alignment horizontal="center" vertical="top" wrapText="1"/>
    </xf>
    <xf numFmtId="2" fontId="49" fillId="10" borderId="36" xfId="10" applyNumberFormat="1" applyFont="1" applyBorder="1" applyAlignment="1" applyProtection="1">
      <alignment horizontal="center" vertical="top" wrapText="1"/>
    </xf>
    <xf numFmtId="2" fontId="49" fillId="10" borderId="26" xfId="10" applyNumberFormat="1" applyFont="1" applyBorder="1" applyAlignment="1">
      <alignment horizontal="center" vertical="top" wrapText="1"/>
    </xf>
    <xf numFmtId="2" fontId="49" fillId="10" borderId="45" xfId="10" applyNumberFormat="1" applyFont="1" applyBorder="1" applyAlignment="1">
      <alignment horizontal="center" vertical="top" wrapText="1"/>
    </xf>
    <xf numFmtId="2" fontId="49" fillId="10" borderId="20" xfId="10" applyNumberFormat="1" applyFont="1" applyBorder="1" applyAlignment="1">
      <alignment horizontal="center" vertical="top" wrapText="1"/>
    </xf>
    <xf numFmtId="2" fontId="49" fillId="10" borderId="46" xfId="10" applyNumberFormat="1" applyFont="1" applyBorder="1" applyAlignment="1">
      <alignment horizontal="center" vertical="top" wrapText="1"/>
    </xf>
    <xf numFmtId="2" fontId="49" fillId="10" borderId="4" xfId="10" applyNumberFormat="1" applyFont="1" applyBorder="1" applyAlignment="1">
      <alignment horizontal="center" vertical="top" wrapText="1"/>
    </xf>
    <xf numFmtId="2" fontId="49" fillId="10" borderId="52" xfId="10" applyNumberFormat="1" applyFont="1" applyBorder="1" applyAlignment="1">
      <alignment horizontal="center" vertical="top" wrapText="1"/>
    </xf>
    <xf numFmtId="2" fontId="49" fillId="10" borderId="53" xfId="10" applyNumberFormat="1" applyFont="1" applyBorder="1" applyAlignment="1">
      <alignment horizontal="center" vertical="top" wrapText="1"/>
    </xf>
    <xf numFmtId="2" fontId="49" fillId="10" borderId="44" xfId="10" applyNumberFormat="1" applyFont="1" applyBorder="1" applyAlignment="1">
      <alignment horizontal="center" vertical="top" wrapText="1"/>
    </xf>
    <xf numFmtId="2" fontId="49" fillId="10" borderId="50" xfId="10" applyNumberFormat="1" applyFont="1" applyBorder="1" applyAlignment="1">
      <alignment horizontal="center" vertical="top" wrapText="1"/>
    </xf>
    <xf numFmtId="2" fontId="49" fillId="10" borderId="24" xfId="10" applyNumberFormat="1" applyFont="1" applyBorder="1" applyAlignment="1">
      <alignment horizontal="center" vertical="center" wrapText="1"/>
    </xf>
    <xf numFmtId="2" fontId="49" fillId="10" borderId="24" xfId="10" applyNumberFormat="1" applyFont="1" applyBorder="1" applyAlignment="1">
      <alignment horizontal="center" vertical="center"/>
    </xf>
    <xf numFmtId="2" fontId="49" fillId="10" borderId="15" xfId="10" applyNumberFormat="1" applyFont="1" applyBorder="1" applyAlignment="1">
      <alignment horizontal="center" vertical="top" wrapText="1"/>
    </xf>
    <xf numFmtId="2" fontId="49" fillId="10" borderId="41" xfId="10" applyNumberFormat="1" applyFont="1" applyBorder="1" applyAlignment="1">
      <alignment horizontal="center" vertical="top" wrapText="1"/>
    </xf>
    <xf numFmtId="2" fontId="49" fillId="10" borderId="57" xfId="10" applyNumberFormat="1" applyFont="1" applyBorder="1" applyAlignment="1">
      <alignment horizontal="center" vertical="top" wrapText="1"/>
    </xf>
    <xf numFmtId="2" fontId="49" fillId="10" borderId="56" xfId="10" applyNumberFormat="1" applyFont="1" applyBorder="1" applyAlignment="1">
      <alignment horizontal="center" vertical="top" wrapText="1"/>
    </xf>
    <xf numFmtId="2" fontId="49" fillId="10" borderId="6" xfId="10" applyNumberFormat="1" applyFont="1" applyBorder="1" applyAlignment="1">
      <alignment horizontal="center" vertical="top" wrapText="1"/>
    </xf>
    <xf numFmtId="0" fontId="49" fillId="10" borderId="56" xfId="10" applyFont="1" applyBorder="1" applyAlignment="1">
      <alignment horizontal="center" wrapText="1"/>
    </xf>
    <xf numFmtId="0" fontId="49" fillId="10" borderId="6" xfId="10" applyFont="1" applyBorder="1" applyAlignment="1">
      <alignment horizontal="center" wrapText="1"/>
    </xf>
    <xf numFmtId="0" fontId="49" fillId="10" borderId="58" xfId="10" applyFont="1" applyBorder="1" applyAlignment="1">
      <alignment horizontal="center" wrapText="1"/>
    </xf>
    <xf numFmtId="0" fontId="51" fillId="38" borderId="86" xfId="50" applyFont="1" applyFill="1" applyBorder="1" applyAlignment="1">
      <alignment horizontal="center"/>
    </xf>
    <xf numFmtId="0" fontId="51" fillId="38" borderId="87" xfId="50" applyFont="1" applyFill="1" applyBorder="1" applyAlignment="1">
      <alignment horizontal="center"/>
    </xf>
    <xf numFmtId="0" fontId="50" fillId="10" borderId="24" xfId="10" applyFont="1" applyBorder="1" applyAlignment="1" applyProtection="1">
      <alignment horizontal="center" vertical="center" wrapText="1"/>
      <protection hidden="1"/>
    </xf>
    <xf numFmtId="2" fontId="49" fillId="10" borderId="23" xfId="10" applyNumberFormat="1" applyFont="1" applyBorder="1" applyAlignment="1">
      <alignment horizontal="center" vertical="center"/>
    </xf>
    <xf numFmtId="2" fontId="49" fillId="10" borderId="21" xfId="10" applyNumberFormat="1" applyFont="1" applyBorder="1" applyAlignment="1">
      <alignment horizontal="center" vertical="center"/>
    </xf>
    <xf numFmtId="2" fontId="49" fillId="10" borderId="38" xfId="10" applyNumberFormat="1" applyFont="1" applyBorder="1" applyAlignment="1">
      <alignment horizontal="center" vertical="center"/>
    </xf>
    <xf numFmtId="2" fontId="49" fillId="10" borderId="0" xfId="10" applyNumberFormat="1" applyFont="1" applyBorder="1" applyAlignment="1">
      <alignment horizontal="center" vertical="center"/>
    </xf>
    <xf numFmtId="2" fontId="49" fillId="10" borderId="45" xfId="10" applyNumberFormat="1" applyFont="1" applyBorder="1" applyAlignment="1" applyProtection="1">
      <alignment horizontal="center" vertical="center"/>
      <protection hidden="1"/>
    </xf>
    <xf numFmtId="2" fontId="49" fillId="10" borderId="20" xfId="10" applyNumberFormat="1" applyFont="1" applyBorder="1" applyAlignment="1" applyProtection="1">
      <alignment horizontal="center" vertical="center"/>
      <protection hidden="1"/>
    </xf>
    <xf numFmtId="2" fontId="49" fillId="10" borderId="27" xfId="10" applyNumberFormat="1" applyFont="1" applyBorder="1" applyAlignment="1" applyProtection="1">
      <alignment horizontal="center" vertical="center"/>
      <protection hidden="1"/>
    </xf>
    <xf numFmtId="0" fontId="49" fillId="10" borderId="23" xfId="10" applyFont="1" applyBorder="1" applyAlignment="1" applyProtection="1">
      <alignment horizontal="center" vertical="center" wrapText="1"/>
    </xf>
    <xf numFmtId="0" fontId="49" fillId="10" borderId="21" xfId="10" applyFont="1" applyBorder="1" applyAlignment="1" applyProtection="1">
      <alignment horizontal="center" vertical="center" wrapText="1"/>
    </xf>
    <xf numFmtId="0" fontId="49" fillId="10" borderId="22" xfId="10" applyFont="1" applyBorder="1" applyAlignment="1" applyProtection="1">
      <alignment horizontal="center" vertical="center" wrapText="1"/>
    </xf>
    <xf numFmtId="0" fontId="49" fillId="10" borderId="24" xfId="10" applyFont="1" applyBorder="1" applyAlignment="1">
      <alignment horizontal="center" vertical="center" wrapText="1"/>
    </xf>
    <xf numFmtId="2" fontId="49" fillId="10" borderId="26" xfId="10" applyNumberFormat="1" applyFont="1" applyBorder="1" applyAlignment="1">
      <alignment horizontal="center" vertical="center" wrapText="1"/>
    </xf>
    <xf numFmtId="2" fontId="49" fillId="10" borderId="16" xfId="10" applyNumberFormat="1" applyFont="1" applyBorder="1" applyAlignment="1">
      <alignment horizontal="center" vertical="top" wrapText="1"/>
    </xf>
    <xf numFmtId="2" fontId="49" fillId="10" borderId="18" xfId="10" applyNumberFormat="1" applyFont="1" applyBorder="1" applyAlignment="1">
      <alignment horizontal="center" vertical="top" wrapText="1"/>
    </xf>
    <xf numFmtId="2" fontId="49" fillId="10" borderId="43" xfId="10" applyNumberFormat="1" applyFont="1" applyBorder="1" applyAlignment="1">
      <alignment horizontal="center" vertical="top" wrapText="1"/>
    </xf>
    <xf numFmtId="2" fontId="49" fillId="10" borderId="46" xfId="10" applyNumberFormat="1" applyFont="1" applyBorder="1" applyAlignment="1" applyProtection="1">
      <alignment horizontal="center" vertical="center" wrapText="1"/>
    </xf>
    <xf numFmtId="2" fontId="49" fillId="10" borderId="4" xfId="10" applyNumberFormat="1" applyFont="1" applyBorder="1" applyAlignment="1" applyProtection="1">
      <alignment horizontal="center" vertical="center" wrapText="1"/>
    </xf>
    <xf numFmtId="2" fontId="49" fillId="10" borderId="47" xfId="10" applyNumberFormat="1" applyFont="1" applyBorder="1" applyAlignment="1" applyProtection="1">
      <alignment horizontal="center" vertical="center" wrapText="1"/>
    </xf>
    <xf numFmtId="0" fontId="49" fillId="10" borderId="38" xfId="10" applyFont="1" applyBorder="1" applyAlignment="1" applyProtection="1">
      <alignment horizontal="center" vertical="center"/>
      <protection hidden="1"/>
    </xf>
    <xf numFmtId="0" fontId="49" fillId="10" borderId="0" xfId="10" applyFont="1" applyBorder="1" applyAlignment="1" applyProtection="1">
      <alignment horizontal="center" vertical="center"/>
      <protection hidden="1"/>
    </xf>
    <xf numFmtId="0" fontId="49" fillId="10" borderId="19" xfId="10" applyFont="1" applyBorder="1" applyAlignment="1" applyProtection="1">
      <alignment horizontal="center" vertical="center"/>
      <protection hidden="1"/>
    </xf>
    <xf numFmtId="0" fontId="49" fillId="10" borderId="25" xfId="10" applyFont="1" applyBorder="1" applyAlignment="1" applyProtection="1">
      <alignment horizontal="center" vertical="center" wrapText="1"/>
      <protection hidden="1"/>
    </xf>
    <xf numFmtId="0" fontId="49" fillId="10" borderId="25" xfId="10" applyFont="1" applyBorder="1" applyAlignment="1" applyProtection="1">
      <alignment horizontal="center" vertical="center"/>
      <protection hidden="1"/>
    </xf>
    <xf numFmtId="0" fontId="49" fillId="10" borderId="38" xfId="10" applyFont="1" applyBorder="1" applyAlignment="1" applyProtection="1">
      <alignment horizontal="center"/>
      <protection hidden="1"/>
    </xf>
    <xf numFmtId="0" fontId="49" fillId="10" borderId="0" xfId="10" applyFont="1" applyBorder="1" applyAlignment="1" applyProtection="1">
      <alignment horizontal="center"/>
      <protection hidden="1"/>
    </xf>
    <xf numFmtId="0" fontId="49" fillId="10" borderId="19" xfId="10" applyFont="1" applyBorder="1" applyAlignment="1" applyProtection="1">
      <alignment horizontal="center"/>
      <protection hidden="1"/>
    </xf>
    <xf numFmtId="0" fontId="49" fillId="10" borderId="24" xfId="10" applyFont="1" applyBorder="1" applyAlignment="1" applyProtection="1">
      <alignment horizontal="center" vertical="center"/>
      <protection hidden="1"/>
    </xf>
    <xf numFmtId="168" fontId="43" fillId="29" borderId="24" xfId="50" applyNumberFormat="1" applyFont="1" applyBorder="1" applyAlignment="1" applyProtection="1">
      <alignment horizontal="center" vertical="center"/>
      <protection hidden="1"/>
    </xf>
    <xf numFmtId="0" fontId="21" fillId="2" borderId="44" xfId="0" applyFont="1" applyFill="1" applyBorder="1" applyAlignment="1" applyProtection="1">
      <alignment horizontal="center" vertical="center"/>
      <protection locked="0"/>
    </xf>
    <xf numFmtId="0" fontId="21" fillId="2" borderId="51" xfId="0" applyFont="1" applyFill="1" applyBorder="1" applyAlignment="1" applyProtection="1">
      <alignment horizontal="center" vertical="center"/>
      <protection locked="0"/>
    </xf>
    <xf numFmtId="167" fontId="50" fillId="29" borderId="67" xfId="50" applyNumberFormat="1" applyFont="1" applyBorder="1" applyAlignment="1" applyProtection="1">
      <alignment horizontal="center" vertical="center"/>
      <protection hidden="1"/>
    </xf>
    <xf numFmtId="167" fontId="50" fillId="29" borderId="72" xfId="50" applyNumberFormat="1" applyFont="1" applyBorder="1" applyAlignment="1" applyProtection="1">
      <alignment horizontal="center" vertical="center"/>
      <protection hidden="1"/>
    </xf>
    <xf numFmtId="2" fontId="50" fillId="10" borderId="23" xfId="10" applyNumberFormat="1" applyFont="1" applyBorder="1" applyAlignment="1" applyProtection="1">
      <alignment horizontal="center" vertical="center"/>
      <protection hidden="1"/>
    </xf>
    <xf numFmtId="2" fontId="50" fillId="10" borderId="22" xfId="10" applyNumberFormat="1" applyFont="1" applyBorder="1" applyAlignment="1" applyProtection="1">
      <alignment horizontal="center" vertical="center"/>
      <protection hidden="1"/>
    </xf>
    <xf numFmtId="2" fontId="50" fillId="10" borderId="38" xfId="10" applyNumberFormat="1" applyFont="1" applyBorder="1" applyAlignment="1" applyProtection="1">
      <alignment horizontal="center" vertical="center"/>
      <protection hidden="1"/>
    </xf>
    <xf numFmtId="2" fontId="50" fillId="10" borderId="19" xfId="10" applyNumberFormat="1" applyFont="1" applyBorder="1" applyAlignment="1" applyProtection="1">
      <alignment horizontal="center" vertical="center"/>
      <protection hidden="1"/>
    </xf>
    <xf numFmtId="2" fontId="50" fillId="10" borderId="45" xfId="10" applyNumberFormat="1" applyFont="1" applyBorder="1" applyAlignment="1" applyProtection="1">
      <alignment horizontal="center" vertical="center"/>
      <protection hidden="1"/>
    </xf>
    <xf numFmtId="2" fontId="50" fillId="10" borderId="27" xfId="10" applyNumberFormat="1" applyFont="1" applyBorder="1" applyAlignment="1" applyProtection="1">
      <alignment horizontal="center" vertical="center"/>
      <protection hidden="1"/>
    </xf>
    <xf numFmtId="0" fontId="56" fillId="32" borderId="46" xfId="44" applyFont="1" applyBorder="1" applyAlignment="1" applyProtection="1">
      <alignment horizontal="center" vertical="center"/>
      <protection locked="0"/>
    </xf>
    <xf numFmtId="0" fontId="56" fillId="32" borderId="4" xfId="44" applyFont="1" applyBorder="1" applyAlignment="1" applyProtection="1">
      <alignment horizontal="center" vertical="center"/>
      <protection locked="0"/>
    </xf>
    <xf numFmtId="0" fontId="56" fillId="32" borderId="47" xfId="44" applyFont="1" applyBorder="1" applyAlignment="1" applyProtection="1">
      <alignment horizontal="center" vertical="center"/>
      <protection locked="0"/>
    </xf>
    <xf numFmtId="0" fontId="49" fillId="10" borderId="46" xfId="10" applyFont="1" applyBorder="1" applyAlignment="1">
      <alignment horizontal="center"/>
    </xf>
    <xf numFmtId="0" fontId="49" fillId="10" borderId="4" xfId="10" applyFont="1" applyBorder="1" applyAlignment="1">
      <alignment horizontal="center"/>
    </xf>
    <xf numFmtId="0" fontId="49" fillId="10" borderId="47" xfId="10" applyFont="1" applyBorder="1" applyAlignment="1">
      <alignment horizontal="center"/>
    </xf>
    <xf numFmtId="0" fontId="49" fillId="32" borderId="83" xfId="44" applyFont="1" applyBorder="1" applyAlignment="1" applyProtection="1">
      <alignment horizontal="center"/>
      <protection locked="0"/>
    </xf>
    <xf numFmtId="0" fontId="49" fillId="32" borderId="84" xfId="44" applyFont="1" applyBorder="1" applyAlignment="1" applyProtection="1">
      <alignment horizontal="center"/>
      <protection locked="0"/>
    </xf>
    <xf numFmtId="0" fontId="49" fillId="32" borderId="85" xfId="44" applyFont="1" applyBorder="1" applyAlignment="1" applyProtection="1">
      <alignment horizontal="center"/>
      <protection locked="0"/>
    </xf>
    <xf numFmtId="2" fontId="49" fillId="10" borderId="44" xfId="10" applyNumberFormat="1" applyFont="1" applyBorder="1" applyAlignment="1">
      <alignment horizontal="center" vertical="center"/>
    </xf>
    <xf numFmtId="2" fontId="49" fillId="10" borderId="50" xfId="10" applyNumberFormat="1" applyFont="1" applyBorder="1" applyAlignment="1">
      <alignment horizontal="center" vertical="center"/>
    </xf>
    <xf numFmtId="2" fontId="49" fillId="10" borderId="51" xfId="10" applyNumberFormat="1" applyFont="1" applyBorder="1" applyAlignment="1">
      <alignment horizontal="center" vertical="center"/>
    </xf>
    <xf numFmtId="0" fontId="56" fillId="32" borderId="46" xfId="44" applyFont="1" applyBorder="1" applyAlignment="1" applyProtection="1">
      <alignment horizontal="center"/>
      <protection locked="0"/>
    </xf>
    <xf numFmtId="0" fontId="56" fillId="32" borderId="4" xfId="44" applyFont="1" applyBorder="1" applyAlignment="1" applyProtection="1">
      <alignment horizontal="center"/>
      <protection locked="0"/>
    </xf>
    <xf numFmtId="0" fontId="56" fillId="32" borderId="47" xfId="44" applyFont="1" applyBorder="1" applyAlignment="1" applyProtection="1">
      <alignment horizontal="center"/>
      <protection locked="0"/>
    </xf>
    <xf numFmtId="2" fontId="56" fillId="32" borderId="44" xfId="44" applyNumberFormat="1" applyFont="1" applyBorder="1" applyAlignment="1" applyProtection="1">
      <alignment horizontal="center"/>
      <protection locked="0"/>
    </xf>
    <xf numFmtId="2" fontId="56" fillId="32" borderId="50" xfId="44" applyNumberFormat="1" applyFont="1" applyBorder="1" applyAlignment="1" applyProtection="1">
      <alignment horizontal="center"/>
      <protection locked="0"/>
    </xf>
    <xf numFmtId="2" fontId="56" fillId="32" borderId="51" xfId="44" applyNumberFormat="1" applyFont="1" applyBorder="1" applyAlignment="1" applyProtection="1">
      <alignment horizontal="center"/>
      <protection locked="0"/>
    </xf>
    <xf numFmtId="2" fontId="49" fillId="10" borderId="46" xfId="10" applyNumberFormat="1" applyFont="1" applyBorder="1" applyAlignment="1">
      <alignment horizontal="center" vertical="center"/>
    </xf>
    <xf numFmtId="2" fontId="49" fillId="10" borderId="4" xfId="10" applyNumberFormat="1" applyFont="1" applyBorder="1" applyAlignment="1">
      <alignment horizontal="center" vertical="center"/>
    </xf>
    <xf numFmtId="2" fontId="49" fillId="10" borderId="47" xfId="10" applyNumberFormat="1" applyFont="1" applyBorder="1" applyAlignment="1">
      <alignment horizontal="center" vertical="center"/>
    </xf>
    <xf numFmtId="2" fontId="49" fillId="10" borderId="32" xfId="10" applyNumberFormat="1" applyFont="1" applyBorder="1" applyAlignment="1" applyProtection="1">
      <alignment horizontal="center" vertical="center"/>
      <protection locked="0"/>
    </xf>
    <xf numFmtId="2" fontId="49" fillId="10" borderId="59" xfId="10" applyNumberFormat="1" applyFont="1" applyBorder="1" applyAlignment="1" applyProtection="1">
      <alignment horizontal="center" vertical="center"/>
      <protection locked="0"/>
    </xf>
    <xf numFmtId="0" fontId="56" fillId="32" borderId="88" xfId="44" applyFont="1" applyBorder="1" applyAlignment="1" applyProtection="1">
      <alignment horizontal="center"/>
      <protection locked="0"/>
    </xf>
    <xf numFmtId="0" fontId="56" fillId="32" borderId="89" xfId="44" applyFont="1" applyBorder="1" applyAlignment="1" applyProtection="1">
      <alignment horizontal="center"/>
      <protection locked="0"/>
    </xf>
    <xf numFmtId="2" fontId="56" fillId="32" borderId="25" xfId="44" applyNumberFormat="1" applyFont="1" applyBorder="1" applyAlignment="1" applyProtection="1">
      <alignment horizontal="center"/>
      <protection locked="0"/>
    </xf>
    <xf numFmtId="2" fontId="50" fillId="10" borderId="23" xfId="10" applyNumberFormat="1" applyFont="1" applyBorder="1" applyAlignment="1" applyProtection="1">
      <alignment horizontal="center" vertical="center" wrapText="1"/>
      <protection hidden="1"/>
    </xf>
    <xf numFmtId="2" fontId="50" fillId="10" borderId="21" xfId="10" applyNumberFormat="1" applyFont="1" applyBorder="1" applyAlignment="1" applyProtection="1">
      <alignment horizontal="center" vertical="center" wrapText="1"/>
      <protection hidden="1"/>
    </xf>
    <xf numFmtId="2" fontId="50" fillId="10" borderId="22" xfId="10" applyNumberFormat="1" applyFont="1" applyBorder="1" applyAlignment="1" applyProtection="1">
      <alignment horizontal="center" vertical="center" wrapText="1"/>
      <protection hidden="1"/>
    </xf>
    <xf numFmtId="2" fontId="50" fillId="10" borderId="45" xfId="10" applyNumberFormat="1" applyFont="1" applyBorder="1" applyAlignment="1" applyProtection="1">
      <alignment horizontal="center" vertical="center" wrapText="1"/>
      <protection hidden="1"/>
    </xf>
    <xf numFmtId="2" fontId="50" fillId="10" borderId="20" xfId="10" applyNumberFormat="1" applyFont="1" applyBorder="1" applyAlignment="1" applyProtection="1">
      <alignment horizontal="center" vertical="center" wrapText="1"/>
      <protection hidden="1"/>
    </xf>
    <xf numFmtId="2" fontId="50" fillId="10" borderId="27" xfId="10" applyNumberFormat="1" applyFont="1" applyBorder="1" applyAlignment="1" applyProtection="1">
      <alignment horizontal="center" vertical="center" wrapText="1"/>
      <protection hidden="1"/>
    </xf>
    <xf numFmtId="0" fontId="49" fillId="32" borderId="90" xfId="44" applyFont="1" applyBorder="1" applyAlignment="1" applyProtection="1">
      <alignment horizontal="center"/>
      <protection locked="0" hidden="1"/>
    </xf>
    <xf numFmtId="0" fontId="49" fillId="32" borderId="91" xfId="44" applyFont="1" applyBorder="1" applyAlignment="1" applyProtection="1">
      <alignment horizontal="center"/>
      <protection locked="0" hidden="1"/>
    </xf>
    <xf numFmtId="0" fontId="49" fillId="32" borderId="92" xfId="44" applyFont="1" applyBorder="1" applyAlignment="1" applyProtection="1">
      <alignment horizontal="center"/>
      <protection locked="0" hidden="1"/>
    </xf>
    <xf numFmtId="2" fontId="56" fillId="32" borderId="52" xfId="44" applyNumberFormat="1" applyFont="1" applyBorder="1" applyAlignment="1" applyProtection="1">
      <alignment horizontal="center" vertical="center" shrinkToFit="1"/>
      <protection locked="0"/>
    </xf>
    <xf numFmtId="2" fontId="56" fillId="32" borderId="53" xfId="44" applyNumberFormat="1" applyFont="1" applyBorder="1" applyAlignment="1" applyProtection="1">
      <alignment horizontal="center" vertical="center" shrinkToFit="1"/>
      <protection locked="0"/>
    </xf>
    <xf numFmtId="2" fontId="56" fillId="32" borderId="54" xfId="44" applyNumberFormat="1" applyFont="1" applyBorder="1" applyAlignment="1" applyProtection="1">
      <alignment horizontal="center" vertical="center" shrinkToFit="1"/>
      <protection locked="0"/>
    </xf>
    <xf numFmtId="2" fontId="56" fillId="32" borderId="46" xfId="44" applyNumberFormat="1" applyFont="1" applyBorder="1" applyAlignment="1" applyProtection="1">
      <alignment horizontal="center" vertical="center" shrinkToFit="1"/>
      <protection locked="0"/>
    </xf>
    <xf numFmtId="2" fontId="56" fillId="32" borderId="4" xfId="44" applyNumberFormat="1" applyFont="1" applyBorder="1" applyAlignment="1" applyProtection="1">
      <alignment horizontal="center" vertical="center" shrinkToFit="1"/>
      <protection locked="0"/>
    </xf>
    <xf numFmtId="2" fontId="56" fillId="32" borderId="47" xfId="44" applyNumberFormat="1" applyFont="1" applyBorder="1" applyAlignment="1" applyProtection="1">
      <alignment horizontal="center" vertical="center" shrinkToFit="1"/>
      <protection locked="0"/>
    </xf>
    <xf numFmtId="2" fontId="16" fillId="0" borderId="38" xfId="47" applyNumberFormat="1" applyFont="1" applyFill="1" applyBorder="1" applyAlignment="1">
      <alignment horizontal="center" wrapText="1"/>
    </xf>
    <xf numFmtId="2" fontId="16" fillId="0" borderId="0" xfId="47" applyNumberFormat="1" applyFont="1" applyFill="1" applyBorder="1" applyAlignment="1">
      <alignment horizontal="center"/>
    </xf>
    <xf numFmtId="2" fontId="16" fillId="0" borderId="19" xfId="47" applyNumberFormat="1" applyFont="1" applyFill="1" applyBorder="1" applyAlignment="1">
      <alignment horizontal="center"/>
    </xf>
    <xf numFmtId="0" fontId="49" fillId="10" borderId="23" xfId="10" applyFont="1" applyBorder="1" applyAlignment="1" applyProtection="1">
      <alignment horizontal="center"/>
      <protection hidden="1"/>
    </xf>
    <xf numFmtId="0" fontId="49" fillId="10" borderId="21" xfId="10" applyFont="1" applyBorder="1" applyAlignment="1" applyProtection="1">
      <alignment horizontal="center"/>
      <protection hidden="1"/>
    </xf>
    <xf numFmtId="0" fontId="49" fillId="10" borderId="22" xfId="10" applyFont="1" applyBorder="1" applyAlignment="1" applyProtection="1">
      <alignment horizontal="center"/>
      <protection hidden="1"/>
    </xf>
    <xf numFmtId="2" fontId="49" fillId="38" borderId="46" xfId="10" applyNumberFormat="1" applyFont="1" applyFill="1" applyBorder="1" applyAlignment="1" applyProtection="1">
      <alignment horizontal="center" vertical="center" wrapText="1"/>
    </xf>
    <xf numFmtId="2" fontId="49" fillId="38" borderId="4" xfId="10" applyNumberFormat="1" applyFont="1" applyFill="1" applyBorder="1" applyAlignment="1" applyProtection="1">
      <alignment horizontal="center" vertical="center" wrapText="1"/>
    </xf>
    <xf numFmtId="2" fontId="49" fillId="38" borderId="47" xfId="10" applyNumberFormat="1" applyFont="1" applyFill="1" applyBorder="1" applyAlignment="1" applyProtection="1">
      <alignment horizontal="center" vertical="center" wrapText="1"/>
    </xf>
    <xf numFmtId="2" fontId="49" fillId="32" borderId="46" xfId="44" applyNumberFormat="1" applyFont="1" applyBorder="1" applyAlignment="1" applyProtection="1">
      <alignment horizontal="center" vertical="center"/>
      <protection locked="0"/>
    </xf>
    <xf numFmtId="2" fontId="49" fillId="32" borderId="47" xfId="44" applyNumberFormat="1" applyFont="1" applyBorder="1" applyAlignment="1" applyProtection="1">
      <alignment horizontal="center" vertical="center"/>
      <protection locked="0"/>
    </xf>
    <xf numFmtId="0" fontId="56" fillId="32" borderId="23" xfId="44" applyFont="1" applyBorder="1" applyAlignment="1" applyProtection="1">
      <alignment horizontal="center" vertical="top"/>
      <protection locked="0"/>
    </xf>
    <xf numFmtId="0" fontId="56" fillId="32" borderId="21" xfId="44" applyFont="1" applyBorder="1" applyAlignment="1" applyProtection="1">
      <alignment horizontal="center" vertical="top"/>
      <protection locked="0"/>
    </xf>
    <xf numFmtId="0" fontId="56" fillId="32" borderId="22" xfId="44" applyFont="1" applyBorder="1" applyAlignment="1" applyProtection="1">
      <alignment horizontal="center" vertical="top"/>
      <protection locked="0"/>
    </xf>
    <xf numFmtId="0" fontId="56" fillId="32" borderId="38" xfId="44" applyFont="1" applyBorder="1" applyAlignment="1" applyProtection="1">
      <alignment horizontal="center" vertical="top"/>
      <protection locked="0"/>
    </xf>
    <xf numFmtId="0" fontId="56" fillId="32" borderId="0" xfId="44" applyFont="1" applyBorder="1" applyAlignment="1" applyProtection="1">
      <alignment horizontal="center" vertical="top"/>
      <protection locked="0"/>
    </xf>
    <xf numFmtId="0" fontId="56" fillId="32" borderId="19" xfId="44" applyFont="1" applyBorder="1" applyAlignment="1" applyProtection="1">
      <alignment horizontal="center" vertical="top"/>
      <protection locked="0"/>
    </xf>
    <xf numFmtId="0" fontId="56" fillId="32" borderId="45" xfId="44" applyFont="1" applyBorder="1" applyAlignment="1" applyProtection="1">
      <alignment horizontal="center" vertical="top"/>
      <protection locked="0"/>
    </xf>
    <xf numFmtId="0" fontId="56" fillId="32" borderId="20" xfId="44" applyFont="1" applyBorder="1" applyAlignment="1" applyProtection="1">
      <alignment horizontal="center" vertical="top"/>
      <protection locked="0"/>
    </xf>
    <xf numFmtId="0" fontId="56" fillId="32" borderId="27" xfId="44" applyFont="1" applyBorder="1" applyAlignment="1" applyProtection="1">
      <alignment horizontal="center" vertical="top"/>
      <protection locked="0"/>
    </xf>
    <xf numFmtId="2" fontId="68" fillId="43" borderId="23" xfId="10" applyNumberFormat="1" applyFont="1" applyFill="1" applyBorder="1" applyAlignment="1">
      <alignment horizontal="center" vertical="center"/>
    </xf>
    <xf numFmtId="2" fontId="68" fillId="43" borderId="21" xfId="10" applyNumberFormat="1" applyFont="1" applyFill="1" applyBorder="1" applyAlignment="1">
      <alignment horizontal="center" vertical="center"/>
    </xf>
    <xf numFmtId="2" fontId="68" fillId="43" borderId="38" xfId="10" applyNumberFormat="1" applyFont="1" applyFill="1" applyBorder="1" applyAlignment="1">
      <alignment horizontal="center" vertical="center"/>
    </xf>
    <xf numFmtId="2" fontId="68" fillId="43" borderId="0" xfId="10" applyNumberFormat="1" applyFont="1" applyFill="1" applyBorder="1" applyAlignment="1">
      <alignment horizontal="center" vertical="center"/>
    </xf>
    <xf numFmtId="2" fontId="68" fillId="43" borderId="45" xfId="10" applyNumberFormat="1" applyFont="1" applyFill="1" applyBorder="1" applyAlignment="1">
      <alignment horizontal="center" vertical="center"/>
    </xf>
    <xf numFmtId="2" fontId="68" fillId="43" borderId="20" xfId="10" applyNumberFormat="1" applyFont="1" applyFill="1" applyBorder="1" applyAlignment="1">
      <alignment horizontal="center" vertical="center"/>
    </xf>
    <xf numFmtId="2" fontId="72" fillId="10" borderId="23" xfId="10" applyNumberFormat="1" applyFont="1" applyBorder="1" applyAlignment="1">
      <alignment horizontal="center" vertical="center" wrapText="1"/>
    </xf>
    <xf numFmtId="2" fontId="72" fillId="10" borderId="21" xfId="10" applyNumberFormat="1" applyFont="1" applyBorder="1" applyAlignment="1">
      <alignment horizontal="center" vertical="center" wrapText="1"/>
    </xf>
    <xf numFmtId="2" fontId="72" fillId="10" borderId="22" xfId="10" applyNumberFormat="1" applyFont="1" applyBorder="1" applyAlignment="1">
      <alignment horizontal="center" vertical="center" wrapText="1"/>
    </xf>
    <xf numFmtId="2" fontId="73" fillId="10" borderId="45" xfId="10" applyNumberFormat="1" applyFont="1" applyBorder="1" applyAlignment="1" applyProtection="1">
      <alignment horizontal="center" vertical="center" wrapText="1"/>
      <protection locked="0"/>
    </xf>
    <xf numFmtId="2" fontId="73" fillId="10" borderId="20" xfId="10" applyNumberFormat="1" applyFont="1" applyBorder="1" applyAlignment="1" applyProtection="1">
      <alignment horizontal="center" vertical="center" wrapText="1"/>
      <protection locked="0"/>
    </xf>
    <xf numFmtId="2" fontId="73" fillId="10" borderId="27" xfId="10" applyNumberFormat="1" applyFont="1" applyBorder="1" applyAlignment="1" applyProtection="1">
      <alignment horizontal="center" vertical="center" wrapText="1"/>
      <protection locked="0"/>
    </xf>
    <xf numFmtId="2" fontId="69" fillId="10" borderId="38" xfId="10" applyNumberFormat="1" applyFont="1" applyBorder="1" applyAlignment="1">
      <alignment horizontal="center" vertical="center" wrapText="1"/>
    </xf>
    <xf numFmtId="2" fontId="69" fillId="10" borderId="0" xfId="10" applyNumberFormat="1" applyFont="1" applyBorder="1" applyAlignment="1">
      <alignment horizontal="center" vertical="center" wrapText="1"/>
    </xf>
    <xf numFmtId="2" fontId="69" fillId="10" borderId="19" xfId="10" applyNumberFormat="1" applyFont="1" applyBorder="1" applyAlignment="1">
      <alignment horizontal="center" vertical="center" wrapText="1"/>
    </xf>
    <xf numFmtId="0" fontId="49" fillId="38" borderId="46" xfId="10" applyFont="1" applyFill="1" applyBorder="1" applyAlignment="1" applyProtection="1">
      <alignment horizontal="center" vertical="center" wrapText="1"/>
      <protection hidden="1"/>
    </xf>
    <xf numFmtId="0" fontId="49" fillId="38" borderId="4" xfId="10" applyFont="1" applyFill="1" applyBorder="1" applyAlignment="1" applyProtection="1">
      <alignment horizontal="center" vertical="center" wrapText="1"/>
      <protection hidden="1"/>
    </xf>
    <xf numFmtId="0" fontId="49" fillId="38" borderId="47" xfId="10" applyFont="1" applyFill="1" applyBorder="1" applyAlignment="1" applyProtection="1">
      <alignment horizontal="center" vertical="center" wrapText="1"/>
      <protection hidden="1"/>
    </xf>
    <xf numFmtId="2" fontId="49" fillId="10" borderId="26" xfId="10" applyNumberFormat="1" applyFont="1" applyBorder="1" applyAlignment="1" applyProtection="1">
      <alignment horizontal="center" vertical="center"/>
      <protection hidden="1"/>
    </xf>
    <xf numFmtId="0" fontId="49" fillId="10" borderId="42" xfId="10" applyFont="1" applyBorder="1" applyAlignment="1">
      <alignment horizontal="center" wrapText="1"/>
    </xf>
    <xf numFmtId="0" fontId="49" fillId="10" borderId="55" xfId="10" applyFont="1" applyBorder="1" applyAlignment="1">
      <alignment horizontal="center" wrapText="1"/>
    </xf>
    <xf numFmtId="0" fontId="49" fillId="10" borderId="36" xfId="10" applyFont="1" applyBorder="1" applyAlignment="1">
      <alignment horizontal="center" wrapText="1"/>
    </xf>
    <xf numFmtId="0" fontId="21" fillId="2" borderId="42" xfId="0" applyFont="1" applyFill="1" applyBorder="1" applyAlignment="1" applyProtection="1">
      <alignment horizontal="center" vertical="center"/>
      <protection locked="0"/>
    </xf>
    <xf numFmtId="0" fontId="21" fillId="2" borderId="36" xfId="0" applyFont="1" applyFill="1" applyBorder="1" applyAlignment="1" applyProtection="1">
      <alignment horizontal="center" vertical="center"/>
      <protection locked="0"/>
    </xf>
    <xf numFmtId="2" fontId="49" fillId="10" borderId="48" xfId="10" applyNumberFormat="1" applyFont="1" applyBorder="1" applyAlignment="1">
      <alignment horizontal="center" vertical="center" wrapText="1"/>
    </xf>
    <xf numFmtId="2" fontId="49" fillId="10" borderId="10" xfId="10" applyNumberFormat="1" applyFont="1" applyBorder="1" applyAlignment="1">
      <alignment horizontal="center" vertical="center" wrapText="1"/>
    </xf>
    <xf numFmtId="2" fontId="49" fillId="10" borderId="49" xfId="10" applyNumberFormat="1" applyFont="1" applyBorder="1" applyAlignment="1">
      <alignment horizontal="center" vertical="center" wrapText="1"/>
    </xf>
    <xf numFmtId="2" fontId="49" fillId="10" borderId="45" xfId="10" applyNumberFormat="1" applyFont="1" applyBorder="1" applyAlignment="1">
      <alignment horizontal="center" vertical="center" wrapText="1"/>
    </xf>
    <xf numFmtId="2" fontId="49" fillId="10" borderId="20" xfId="10" applyNumberFormat="1" applyFont="1" applyBorder="1" applyAlignment="1">
      <alignment horizontal="center" vertical="center" wrapText="1"/>
    </xf>
    <xf numFmtId="2" fontId="49" fillId="10" borderId="27" xfId="10" applyNumberFormat="1" applyFont="1" applyBorder="1" applyAlignment="1">
      <alignment horizontal="center" vertical="center" wrapText="1"/>
    </xf>
    <xf numFmtId="167" fontId="50" fillId="29" borderId="112" xfId="50" applyNumberFormat="1" applyFont="1" applyBorder="1" applyAlignment="1" applyProtection="1">
      <alignment horizontal="center" vertical="center" wrapText="1"/>
      <protection hidden="1"/>
    </xf>
    <xf numFmtId="167" fontId="50" fillId="29" borderId="103" xfId="50" applyNumberFormat="1" applyFont="1" applyBorder="1" applyAlignment="1" applyProtection="1">
      <alignment horizontal="center" vertical="center" wrapText="1"/>
      <protection hidden="1"/>
    </xf>
    <xf numFmtId="2" fontId="49" fillId="10" borderId="52" xfId="10" applyNumberFormat="1" applyFont="1" applyBorder="1" applyAlignment="1">
      <alignment horizontal="center" vertical="center"/>
    </xf>
    <xf numFmtId="2" fontId="49" fillId="10" borderId="53" xfId="10" applyNumberFormat="1" applyFont="1" applyBorder="1" applyAlignment="1">
      <alignment horizontal="center" vertical="center"/>
    </xf>
    <xf numFmtId="2" fontId="49" fillId="10" borderId="54" xfId="10" applyNumberFormat="1" applyFont="1" applyBorder="1" applyAlignment="1">
      <alignment horizontal="center" vertical="center"/>
    </xf>
    <xf numFmtId="1" fontId="49" fillId="32" borderId="6" xfId="44" applyNumberFormat="1" applyFont="1" applyBorder="1" applyAlignment="1" applyProtection="1">
      <alignment horizontal="center" vertical="center"/>
      <protection locked="0"/>
    </xf>
    <xf numFmtId="1" fontId="49" fillId="32" borderId="58" xfId="44" applyNumberFormat="1" applyFont="1" applyBorder="1" applyAlignment="1" applyProtection="1">
      <alignment horizontal="center" vertical="center"/>
      <protection locked="0"/>
    </xf>
    <xf numFmtId="2" fontId="49" fillId="32" borderId="4" xfId="44" applyNumberFormat="1" applyFont="1" applyBorder="1" applyAlignment="1" applyProtection="1">
      <alignment horizontal="center" vertical="center"/>
      <protection locked="0"/>
    </xf>
    <xf numFmtId="2" fontId="50" fillId="29" borderId="59" xfId="50" applyNumberFormat="1" applyFont="1" applyBorder="1" applyAlignment="1" applyProtection="1">
      <alignment horizontal="center" vertical="center"/>
      <protection hidden="1"/>
    </xf>
    <xf numFmtId="2" fontId="50" fillId="29" borderId="33" xfId="50" applyNumberFormat="1" applyFont="1" applyBorder="1" applyAlignment="1" applyProtection="1">
      <alignment horizontal="center" vertical="center"/>
      <protection hidden="1"/>
    </xf>
    <xf numFmtId="2" fontId="49" fillId="10" borderId="23" xfId="10" applyNumberFormat="1" applyFont="1" applyBorder="1" applyAlignment="1" applyProtection="1">
      <alignment horizontal="center" vertical="center" wrapText="1"/>
    </xf>
    <xf numFmtId="2" fontId="49" fillId="10" borderId="21" xfId="10" applyNumberFormat="1" applyFont="1" applyBorder="1" applyAlignment="1" applyProtection="1">
      <alignment horizontal="center" vertical="center" wrapText="1"/>
    </xf>
    <xf numFmtId="2" fontId="49" fillId="10" borderId="22" xfId="10" applyNumberFormat="1" applyFont="1" applyBorder="1" applyAlignment="1" applyProtection="1">
      <alignment horizontal="center" vertical="center" wrapText="1"/>
    </xf>
    <xf numFmtId="0" fontId="84" fillId="51" borderId="0" xfId="0" applyFont="1" applyFill="1" applyBorder="1" applyAlignment="1" applyProtection="1">
      <alignment horizontal="center" vertical="center" wrapText="1"/>
    </xf>
    <xf numFmtId="0" fontId="82" fillId="51" borderId="0" xfId="0" applyFont="1" applyFill="1" applyBorder="1" applyAlignment="1" applyProtection="1">
      <alignment horizontal="center" vertical="center" wrapText="1"/>
    </xf>
    <xf numFmtId="0" fontId="74" fillId="51" borderId="0" xfId="0" applyFont="1" applyFill="1" applyBorder="1" applyAlignment="1" applyProtection="1">
      <alignment horizontal="center" vertical="center"/>
    </xf>
    <xf numFmtId="0" fontId="74" fillId="51" borderId="6" xfId="0" applyFont="1" applyFill="1" applyBorder="1" applyAlignment="1" applyProtection="1">
      <alignment horizontal="center" vertical="center"/>
    </xf>
    <xf numFmtId="0" fontId="77" fillId="51" borderId="42" xfId="0" applyFont="1" applyFill="1" applyBorder="1" applyAlignment="1" applyProtection="1">
      <alignment horizontal="left" vertical="top"/>
      <protection locked="0"/>
    </xf>
    <xf numFmtId="0" fontId="77" fillId="51" borderId="36" xfId="0" applyFont="1" applyFill="1" applyBorder="1" applyAlignment="1" applyProtection="1">
      <alignment horizontal="left" vertical="top"/>
      <protection locked="0"/>
    </xf>
    <xf numFmtId="0" fontId="80" fillId="51" borderId="5" xfId="0" applyFont="1" applyFill="1" applyBorder="1" applyAlignment="1" applyProtection="1">
      <alignment horizontal="left" vertical="top" wrapText="1"/>
    </xf>
    <xf numFmtId="0" fontId="80" fillId="51" borderId="7" xfId="0" applyFont="1" applyFill="1" applyBorder="1" applyAlignment="1" applyProtection="1">
      <alignment horizontal="left" vertical="top" wrapText="1"/>
    </xf>
    <xf numFmtId="0" fontId="80" fillId="51" borderId="9" xfId="0" applyFont="1" applyFill="1" applyBorder="1" applyAlignment="1" applyProtection="1">
      <alignment horizontal="left" vertical="top" wrapText="1"/>
    </xf>
    <xf numFmtId="0" fontId="80" fillId="51" borderId="11" xfId="0" applyFont="1" applyFill="1" applyBorder="1" applyAlignment="1" applyProtection="1">
      <alignment horizontal="left" vertical="top" wrapText="1"/>
    </xf>
    <xf numFmtId="0" fontId="80" fillId="51" borderId="9" xfId="0" applyFont="1" applyFill="1" applyBorder="1" applyAlignment="1" applyProtection="1">
      <alignment horizontal="left" vertical="center" wrapText="1"/>
    </xf>
    <xf numFmtId="0" fontId="80" fillId="51" borderId="11" xfId="0" applyFont="1" applyFill="1" applyBorder="1" applyAlignment="1" applyProtection="1">
      <alignment horizontal="left" vertical="center" wrapText="1"/>
    </xf>
    <xf numFmtId="0" fontId="40" fillId="33" borderId="76" xfId="46" applyBorder="1" applyAlignment="1" applyProtection="1">
      <alignment horizontal="left"/>
      <protection hidden="1"/>
    </xf>
    <xf numFmtId="0" fontId="40" fillId="33" borderId="74" xfId="46" applyBorder="1" applyAlignment="1" applyProtection="1">
      <alignment horizontal="center"/>
      <protection hidden="1"/>
    </xf>
    <xf numFmtId="0" fontId="40" fillId="33" borderId="93" xfId="46" applyBorder="1" applyAlignment="1" applyProtection="1">
      <alignment horizontal="center"/>
      <protection hidden="1"/>
    </xf>
    <xf numFmtId="0" fontId="40" fillId="33" borderId="75" xfId="46" applyBorder="1" applyAlignment="1" applyProtection="1">
      <alignment horizontal="center"/>
      <protection hidden="1"/>
    </xf>
    <xf numFmtId="0" fontId="63" fillId="0" borderId="32" xfId="0" applyFont="1" applyBorder="1" applyAlignment="1" applyProtection="1">
      <alignment horizontal="left" indent="3"/>
    </xf>
    <xf numFmtId="0" fontId="62" fillId="0" borderId="33" xfId="0" applyFont="1" applyBorder="1" applyAlignment="1" applyProtection="1">
      <alignment horizontal="left" indent="3"/>
    </xf>
    <xf numFmtId="0" fontId="63" fillId="0" borderId="32" xfId="0" applyFont="1" applyBorder="1" applyAlignment="1">
      <alignment horizontal="center"/>
    </xf>
    <xf numFmtId="0" fontId="62" fillId="0" borderId="59" xfId="0" applyFont="1" applyBorder="1" applyAlignment="1">
      <alignment horizontal="center"/>
    </xf>
    <xf numFmtId="0" fontId="62" fillId="0" borderId="33" xfId="0" applyFont="1" applyBorder="1" applyAlignment="1">
      <alignment horizontal="center"/>
    </xf>
    <xf numFmtId="0" fontId="60" fillId="0" borderId="42" xfId="0" applyFont="1" applyBorder="1" applyAlignment="1" applyProtection="1">
      <alignment horizontal="center" vertical="center"/>
    </xf>
    <xf numFmtId="0" fontId="60" fillId="0" borderId="55" xfId="0" applyFont="1" applyBorder="1" applyAlignment="1" applyProtection="1">
      <alignment horizontal="center" vertical="center"/>
    </xf>
    <xf numFmtId="0" fontId="60" fillId="0" borderId="36" xfId="0" applyFont="1" applyBorder="1" applyAlignment="1" applyProtection="1">
      <alignment horizontal="center" vertical="center"/>
    </xf>
    <xf numFmtId="0" fontId="38" fillId="47" borderId="109" xfId="44" applyFont="1" applyFill="1" applyBorder="1" applyAlignment="1" applyProtection="1">
      <alignment horizontal="left" indent="1"/>
      <protection locked="0"/>
    </xf>
    <xf numFmtId="0" fontId="38" fillId="47" borderId="110" xfId="44" applyFont="1" applyFill="1" applyBorder="1" applyAlignment="1" applyProtection="1">
      <alignment horizontal="left" indent="1"/>
      <protection locked="0"/>
    </xf>
    <xf numFmtId="173" fontId="38" fillId="47" borderId="55" xfId="44" applyNumberFormat="1" applyFont="1" applyFill="1" applyBorder="1" applyAlignment="1" applyProtection="1">
      <alignment horizontal="center" vertical="center"/>
      <protection locked="0"/>
    </xf>
    <xf numFmtId="173" fontId="38" fillId="47" borderId="36" xfId="44" applyNumberFormat="1" applyFont="1" applyFill="1" applyBorder="1" applyAlignment="1" applyProtection="1">
      <alignment horizontal="center" vertical="center"/>
      <protection locked="0"/>
    </xf>
    <xf numFmtId="2" fontId="17" fillId="3" borderId="42" xfId="47" applyNumberFormat="1" applyFill="1" applyBorder="1" applyAlignment="1" applyProtection="1">
      <alignment horizontal="center"/>
      <protection hidden="1"/>
    </xf>
    <xf numFmtId="2" fontId="17" fillId="3" borderId="55" xfId="47" applyNumberFormat="1" applyFill="1" applyBorder="1" applyAlignment="1" applyProtection="1">
      <alignment horizontal="center"/>
      <protection hidden="1"/>
    </xf>
    <xf numFmtId="2" fontId="17" fillId="3" borderId="36" xfId="47" applyNumberFormat="1" applyFill="1" applyBorder="1" applyAlignment="1" applyProtection="1">
      <alignment horizontal="center"/>
      <protection hidden="1"/>
    </xf>
    <xf numFmtId="0" fontId="28" fillId="10" borderId="0" xfId="11" applyAlignment="1" applyProtection="1">
      <alignment horizontal="center"/>
      <protection hidden="1"/>
    </xf>
    <xf numFmtId="2" fontId="28" fillId="10" borderId="0" xfId="10" applyNumberFormat="1" applyFont="1" applyBorder="1" applyAlignment="1" applyProtection="1">
      <alignment horizontal="center" vertical="center"/>
    </xf>
    <xf numFmtId="2" fontId="28" fillId="10" borderId="20" xfId="10" applyNumberFormat="1" applyFont="1" applyBorder="1" applyAlignment="1" applyProtection="1">
      <alignment horizontal="center" vertical="center"/>
    </xf>
    <xf numFmtId="2" fontId="28" fillId="10" borderId="25" xfId="10" applyNumberFormat="1" applyBorder="1" applyAlignment="1" applyProtection="1">
      <alignment horizontal="center"/>
      <protection hidden="1"/>
    </xf>
    <xf numFmtId="2" fontId="11" fillId="10" borderId="25" xfId="10" applyNumberFormat="1" applyFont="1" applyBorder="1" applyAlignment="1" applyProtection="1">
      <alignment horizontal="left"/>
      <protection hidden="1"/>
    </xf>
    <xf numFmtId="2" fontId="28" fillId="10" borderId="25" xfId="10" applyNumberFormat="1" applyBorder="1" applyAlignment="1" applyProtection="1">
      <alignment horizontal="left"/>
      <protection hidden="1"/>
    </xf>
    <xf numFmtId="2" fontId="28" fillId="10" borderId="26" xfId="10" applyNumberFormat="1" applyFont="1" applyBorder="1" applyAlignment="1" applyProtection="1">
      <alignment horizontal="left"/>
      <protection hidden="1"/>
    </xf>
    <xf numFmtId="2" fontId="28" fillId="10" borderId="26" xfId="10" applyNumberFormat="1" applyBorder="1" applyAlignment="1" applyProtection="1">
      <alignment horizontal="left"/>
      <protection hidden="1"/>
    </xf>
    <xf numFmtId="2" fontId="28" fillId="10" borderId="45" xfId="10" applyNumberFormat="1" applyBorder="1" applyAlignment="1" applyProtection="1">
      <alignment horizontal="center"/>
    </xf>
    <xf numFmtId="2" fontId="28" fillId="10" borderId="20" xfId="10" applyNumberFormat="1" applyBorder="1" applyAlignment="1" applyProtection="1">
      <alignment horizontal="center"/>
    </xf>
    <xf numFmtId="2" fontId="28" fillId="10" borderId="27" xfId="10" applyNumberFormat="1" applyBorder="1" applyAlignment="1" applyProtection="1">
      <alignment horizontal="center"/>
    </xf>
    <xf numFmtId="2" fontId="28" fillId="10" borderId="52" xfId="10" applyNumberFormat="1" applyBorder="1" applyAlignment="1" applyProtection="1">
      <alignment horizontal="left"/>
    </xf>
    <xf numFmtId="2" fontId="28" fillId="10" borderId="53" xfId="10" applyNumberFormat="1" applyBorder="1" applyAlignment="1" applyProtection="1">
      <alignment horizontal="left"/>
    </xf>
    <xf numFmtId="2" fontId="28" fillId="10" borderId="54" xfId="10" applyNumberFormat="1" applyBorder="1" applyAlignment="1" applyProtection="1">
      <alignment horizontal="left"/>
    </xf>
    <xf numFmtId="2" fontId="28" fillId="10" borderId="46" xfId="10" applyNumberFormat="1" applyFont="1" applyBorder="1" applyAlignment="1" applyProtection="1">
      <alignment horizontal="center"/>
    </xf>
    <xf numFmtId="2" fontId="28" fillId="10" borderId="4" xfId="10" applyNumberFormat="1" applyBorder="1" applyAlignment="1" applyProtection="1">
      <alignment horizontal="center"/>
    </xf>
    <xf numFmtId="2" fontId="28" fillId="10" borderId="47" xfId="10" applyNumberFormat="1" applyBorder="1" applyAlignment="1" applyProtection="1">
      <alignment horizontal="center"/>
    </xf>
    <xf numFmtId="0" fontId="47" fillId="36" borderId="94" xfId="0" applyFont="1" applyFill="1" applyBorder="1" applyAlignment="1">
      <alignment horizontal="center" vertical="center" wrapText="1"/>
    </xf>
    <xf numFmtId="0" fontId="47" fillId="36" borderId="69" xfId="0" applyFont="1" applyFill="1" applyBorder="1" applyAlignment="1">
      <alignment horizontal="center" vertical="center" wrapText="1"/>
    </xf>
    <xf numFmtId="0" fontId="28" fillId="10" borderId="46" xfId="10" applyFont="1" applyBorder="1" applyAlignment="1">
      <alignment horizontal="left"/>
    </xf>
    <xf numFmtId="0" fontId="28" fillId="10" borderId="4" xfId="10" applyFont="1" applyBorder="1" applyAlignment="1">
      <alignment horizontal="left"/>
    </xf>
    <xf numFmtId="0" fontId="28" fillId="10" borderId="47" xfId="10" applyFont="1" applyBorder="1" applyAlignment="1">
      <alignment horizontal="left"/>
    </xf>
    <xf numFmtId="0" fontId="28" fillId="10" borderId="26" xfId="10" applyBorder="1"/>
    <xf numFmtId="0" fontId="28" fillId="10" borderId="52" xfId="10" applyBorder="1" applyAlignment="1">
      <alignment horizontal="left"/>
    </xf>
    <xf numFmtId="0" fontId="28" fillId="10" borderId="53" xfId="10" applyBorder="1" applyAlignment="1">
      <alignment horizontal="left"/>
    </xf>
    <xf numFmtId="0" fontId="28" fillId="10" borderId="54" xfId="10" applyBorder="1" applyAlignment="1">
      <alignment horizontal="left"/>
    </xf>
    <xf numFmtId="2" fontId="28" fillId="10" borderId="46" xfId="10" applyNumberFormat="1" applyFont="1" applyBorder="1" applyAlignment="1" applyProtection="1">
      <alignment horizontal="center"/>
      <protection hidden="1"/>
    </xf>
    <xf numFmtId="2" fontId="28" fillId="10" borderId="4" xfId="10" applyNumberFormat="1" applyBorder="1" applyAlignment="1" applyProtection="1">
      <alignment horizontal="center"/>
      <protection hidden="1"/>
    </xf>
    <xf numFmtId="2" fontId="28" fillId="10" borderId="47" xfId="10" applyNumberFormat="1" applyBorder="1" applyAlignment="1" applyProtection="1">
      <alignment horizontal="center"/>
      <protection hidden="1"/>
    </xf>
    <xf numFmtId="2" fontId="28" fillId="10" borderId="25" xfId="10" applyNumberFormat="1" applyFont="1" applyBorder="1" applyAlignment="1" applyProtection="1">
      <alignment horizontal="center"/>
      <protection hidden="1"/>
    </xf>
    <xf numFmtId="2" fontId="28" fillId="10" borderId="42" xfId="10" applyNumberFormat="1" applyBorder="1" applyAlignment="1" applyProtection="1">
      <alignment horizontal="left"/>
      <protection hidden="1"/>
    </xf>
    <xf numFmtId="2" fontId="28" fillId="10" borderId="55" xfId="10" applyNumberFormat="1" applyBorder="1" applyAlignment="1" applyProtection="1">
      <alignment horizontal="left"/>
      <protection hidden="1"/>
    </xf>
    <xf numFmtId="2" fontId="28" fillId="10" borderId="36" xfId="10" applyNumberFormat="1" applyBorder="1" applyAlignment="1" applyProtection="1">
      <alignment horizontal="left"/>
      <protection hidden="1"/>
    </xf>
    <xf numFmtId="2" fontId="28" fillId="10" borderId="24" xfId="10" applyNumberFormat="1" applyBorder="1" applyAlignment="1" applyProtection="1">
      <alignment horizontal="center"/>
      <protection hidden="1"/>
    </xf>
    <xf numFmtId="2" fontId="28" fillId="10" borderId="4" xfId="10" applyNumberFormat="1" applyFont="1" applyBorder="1" applyAlignment="1" applyProtection="1">
      <alignment horizontal="center"/>
      <protection hidden="1"/>
    </xf>
    <xf numFmtId="2" fontId="28" fillId="10" borderId="47" xfId="10" applyNumberFormat="1" applyFont="1" applyBorder="1" applyAlignment="1" applyProtection="1">
      <alignment horizontal="center"/>
      <protection hidden="1"/>
    </xf>
    <xf numFmtId="2" fontId="1" fillId="10" borderId="46" xfId="10" applyNumberFormat="1" applyFont="1" applyBorder="1" applyAlignment="1" applyProtection="1">
      <alignment horizontal="center"/>
      <protection hidden="1"/>
    </xf>
    <xf numFmtId="2" fontId="28" fillId="10" borderId="42" xfId="10" applyNumberFormat="1" applyFont="1" applyBorder="1" applyAlignment="1" applyProtection="1">
      <alignment horizontal="center"/>
      <protection hidden="1"/>
    </xf>
    <xf numFmtId="2" fontId="28" fillId="10" borderId="55" xfId="10" applyNumberFormat="1" applyFont="1" applyBorder="1" applyAlignment="1" applyProtection="1">
      <alignment horizontal="center"/>
      <protection hidden="1"/>
    </xf>
    <xf numFmtId="2" fontId="28" fillId="10" borderId="36" xfId="10" applyNumberFormat="1" applyFont="1" applyBorder="1" applyAlignment="1" applyProtection="1">
      <alignment horizontal="center"/>
      <protection hidden="1"/>
    </xf>
    <xf numFmtId="2" fontId="28" fillId="10" borderId="24" xfId="10" applyNumberFormat="1" applyFont="1" applyBorder="1" applyAlignment="1" applyProtection="1">
      <alignment horizontal="center"/>
      <protection hidden="1"/>
    </xf>
    <xf numFmtId="2" fontId="28" fillId="10" borderId="26" xfId="10" applyNumberFormat="1" applyFont="1" applyBorder="1" applyAlignment="1" applyProtection="1">
      <alignment horizontal="center"/>
      <protection hidden="1"/>
    </xf>
    <xf numFmtId="2" fontId="1" fillId="10" borderId="24" xfId="10" applyNumberFormat="1" applyFont="1" applyBorder="1" applyAlignment="1" applyProtection="1">
      <alignment horizontal="center"/>
      <protection hidden="1"/>
    </xf>
    <xf numFmtId="2" fontId="41" fillId="29" borderId="38" xfId="50" applyNumberFormat="1" applyBorder="1" applyAlignment="1" applyProtection="1">
      <alignment horizontal="center"/>
      <protection hidden="1"/>
    </xf>
    <xf numFmtId="2" fontId="41" fillId="29" borderId="0" xfId="50" applyNumberFormat="1" applyBorder="1" applyAlignment="1" applyProtection="1">
      <alignment horizontal="center"/>
      <protection hidden="1"/>
    </xf>
    <xf numFmtId="2" fontId="28" fillId="10" borderId="26" xfId="10" applyNumberFormat="1" applyBorder="1" applyAlignment="1" applyProtection="1">
      <alignment horizontal="center"/>
      <protection hidden="1"/>
    </xf>
    <xf numFmtId="2" fontId="41" fillId="29" borderId="42" xfId="50" applyNumberFormat="1" applyBorder="1" applyAlignment="1" applyProtection="1">
      <alignment horizontal="center"/>
      <protection hidden="1"/>
    </xf>
    <xf numFmtId="2" fontId="41" fillId="29" borderId="55" xfId="50" applyNumberFormat="1" applyBorder="1" applyAlignment="1" applyProtection="1">
      <alignment horizontal="center"/>
      <protection hidden="1"/>
    </xf>
    <xf numFmtId="2" fontId="41" fillId="29" borderId="36" xfId="50" applyNumberFormat="1" applyBorder="1" applyAlignment="1" applyProtection="1">
      <alignment horizontal="center"/>
      <protection hidden="1"/>
    </xf>
    <xf numFmtId="2" fontId="29" fillId="22" borderId="0" xfId="28" applyNumberFormat="1" applyAlignment="1" applyProtection="1">
      <alignment horizontal="center"/>
      <protection hidden="1"/>
    </xf>
    <xf numFmtId="164" fontId="29" fillId="22" borderId="0" xfId="28" applyNumberFormat="1" applyAlignment="1" applyProtection="1">
      <alignment horizontal="center"/>
      <protection hidden="1"/>
    </xf>
    <xf numFmtId="2" fontId="41" fillId="29" borderId="28" xfId="50" applyNumberFormat="1" applyBorder="1" applyAlignment="1" applyProtection="1">
      <alignment horizontal="center"/>
      <protection hidden="1"/>
    </xf>
    <xf numFmtId="2" fontId="28" fillId="10" borderId="28" xfId="10" applyNumberFormat="1" applyFont="1" applyBorder="1" applyAlignment="1" applyProtection="1">
      <alignment horizontal="center"/>
      <protection hidden="1"/>
    </xf>
    <xf numFmtId="2" fontId="28" fillId="10" borderId="28" xfId="10" applyNumberFormat="1" applyBorder="1" applyAlignment="1" applyProtection="1">
      <alignment horizontal="center"/>
      <protection hidden="1"/>
    </xf>
    <xf numFmtId="0" fontId="23" fillId="0" borderId="6" xfId="0" applyFont="1" applyBorder="1" applyAlignment="1">
      <alignment horizontal="center"/>
    </xf>
    <xf numFmtId="0" fontId="70" fillId="37" borderId="31" xfId="0" applyFont="1" applyFill="1" applyBorder="1" applyAlignment="1" applyProtection="1">
      <alignment horizontal="center" vertical="center" wrapText="1"/>
    </xf>
    <xf numFmtId="0" fontId="70" fillId="37" borderId="30" xfId="0" applyFont="1" applyFill="1" applyBorder="1" applyAlignment="1" applyProtection="1">
      <alignment horizontal="center" vertical="center" wrapText="1"/>
    </xf>
    <xf numFmtId="0" fontId="70" fillId="37" borderId="29" xfId="0" applyFont="1" applyFill="1" applyBorder="1" applyAlignment="1" applyProtection="1">
      <alignment horizontal="center" vertical="center" wrapText="1"/>
    </xf>
    <xf numFmtId="17" fontId="70" fillId="37" borderId="31" xfId="0" applyNumberFormat="1" applyFont="1" applyFill="1" applyBorder="1" applyAlignment="1" applyProtection="1">
      <alignment horizontal="center" vertical="center"/>
    </xf>
    <xf numFmtId="17" fontId="70" fillId="37" borderId="30" xfId="0" applyNumberFormat="1" applyFont="1" applyFill="1" applyBorder="1" applyAlignment="1" applyProtection="1">
      <alignment horizontal="center" vertical="center"/>
    </xf>
    <xf numFmtId="17" fontId="70" fillId="37" borderId="29" xfId="0" applyNumberFormat="1" applyFont="1" applyFill="1" applyBorder="1" applyAlignment="1" applyProtection="1">
      <alignment horizontal="center" vertical="center"/>
    </xf>
    <xf numFmtId="0" fontId="71" fillId="37" borderId="23" xfId="0" applyFont="1" applyFill="1" applyBorder="1" applyAlignment="1" applyProtection="1">
      <alignment horizontal="left" wrapText="1"/>
    </xf>
    <xf numFmtId="0" fontId="71" fillId="37" borderId="21" xfId="0" applyFont="1" applyFill="1" applyBorder="1" applyAlignment="1" applyProtection="1">
      <alignment horizontal="left" wrapText="1"/>
    </xf>
    <xf numFmtId="0" fontId="71" fillId="37" borderId="22" xfId="0" applyFont="1" applyFill="1" applyBorder="1" applyAlignment="1" applyProtection="1">
      <alignment horizontal="left" wrapText="1"/>
    </xf>
    <xf numFmtId="0" fontId="71" fillId="37" borderId="38" xfId="0" applyFont="1" applyFill="1" applyBorder="1" applyAlignment="1" applyProtection="1">
      <alignment horizontal="left" wrapText="1"/>
    </xf>
    <xf numFmtId="0" fontId="71" fillId="37" borderId="0" xfId="0" applyFont="1" applyFill="1" applyBorder="1" applyAlignment="1" applyProtection="1">
      <alignment horizontal="left" wrapText="1"/>
    </xf>
    <xf numFmtId="0" fontId="71" fillId="37" borderId="19" xfId="0" applyFont="1" applyFill="1" applyBorder="1" applyAlignment="1" applyProtection="1">
      <alignment horizontal="left" wrapText="1"/>
    </xf>
    <xf numFmtId="0" fontId="71" fillId="37" borderId="45" xfId="0" applyFont="1" applyFill="1" applyBorder="1" applyAlignment="1" applyProtection="1">
      <alignment horizontal="left" wrapText="1"/>
    </xf>
    <xf numFmtId="0" fontId="71" fillId="37" borderId="20" xfId="0" applyFont="1" applyFill="1" applyBorder="1" applyAlignment="1" applyProtection="1">
      <alignment horizontal="left" wrapText="1"/>
    </xf>
    <xf numFmtId="0" fontId="71" fillId="37" borderId="27" xfId="0" applyFont="1" applyFill="1" applyBorder="1" applyAlignment="1" applyProtection="1">
      <alignment horizontal="left" wrapText="1"/>
    </xf>
    <xf numFmtId="0" fontId="71" fillId="37" borderId="23" xfId="0" applyFont="1" applyFill="1" applyBorder="1" applyAlignment="1" applyProtection="1">
      <alignment horizontal="left" vertical="top" wrapText="1"/>
    </xf>
    <xf numFmtId="0" fontId="71" fillId="37" borderId="21" xfId="0" applyFont="1" applyFill="1" applyBorder="1" applyAlignment="1" applyProtection="1">
      <alignment horizontal="left" vertical="top" wrapText="1"/>
    </xf>
    <xf numFmtId="0" fontId="71" fillId="37" borderId="22" xfId="0" applyFont="1" applyFill="1" applyBorder="1" applyAlignment="1" applyProtection="1">
      <alignment horizontal="left" vertical="top" wrapText="1"/>
    </xf>
    <xf numFmtId="0" fontId="71" fillId="37" borderId="38" xfId="0" applyFont="1" applyFill="1" applyBorder="1" applyAlignment="1" applyProtection="1">
      <alignment horizontal="left" vertical="top" wrapText="1"/>
    </xf>
    <xf numFmtId="0" fontId="71" fillId="37" borderId="0" xfId="0" applyFont="1" applyFill="1" applyBorder="1" applyAlignment="1" applyProtection="1">
      <alignment horizontal="left" vertical="top" wrapText="1"/>
    </xf>
    <xf numFmtId="0" fontId="71" fillId="37" borderId="19" xfId="0" applyFont="1" applyFill="1" applyBorder="1" applyAlignment="1" applyProtection="1">
      <alignment horizontal="left" vertical="top" wrapText="1"/>
    </xf>
    <xf numFmtId="0" fontId="71" fillId="37" borderId="45" xfId="0" applyFont="1" applyFill="1" applyBorder="1" applyAlignment="1" applyProtection="1">
      <alignment horizontal="left" vertical="top" wrapText="1"/>
    </xf>
    <xf numFmtId="0" fontId="71" fillId="37" borderId="20" xfId="0" applyFont="1" applyFill="1" applyBorder="1" applyAlignment="1" applyProtection="1">
      <alignment horizontal="left" vertical="top" wrapText="1"/>
    </xf>
    <xf numFmtId="0" fontId="71" fillId="37" borderId="27" xfId="0" applyFont="1" applyFill="1" applyBorder="1" applyAlignment="1" applyProtection="1">
      <alignment horizontal="left" vertical="top" wrapText="1"/>
    </xf>
    <xf numFmtId="2" fontId="70" fillId="44" borderId="42" xfId="0" applyNumberFormat="1" applyFont="1" applyFill="1" applyBorder="1" applyAlignment="1" applyProtection="1">
      <alignment horizontal="center" vertical="center"/>
      <protection hidden="1"/>
    </xf>
    <xf numFmtId="2" fontId="70" fillId="44" borderId="55" xfId="0" applyNumberFormat="1" applyFont="1" applyFill="1" applyBorder="1" applyAlignment="1" applyProtection="1">
      <alignment horizontal="center" vertical="center"/>
      <protection hidden="1"/>
    </xf>
    <xf numFmtId="2" fontId="70" fillId="44" borderId="36" xfId="0" applyNumberFormat="1" applyFont="1" applyFill="1" applyBorder="1" applyAlignment="1" applyProtection="1">
      <alignment horizontal="center" vertical="center"/>
      <protection hidden="1"/>
    </xf>
    <xf numFmtId="0" fontId="71" fillId="37" borderId="42" xfId="0" applyFont="1" applyFill="1" applyBorder="1" applyAlignment="1" applyProtection="1">
      <alignment horizontal="left" vertical="top" wrapText="1"/>
    </xf>
    <xf numFmtId="0" fontId="71" fillId="37" borderId="55" xfId="0" applyFont="1" applyFill="1" applyBorder="1" applyAlignment="1" applyProtection="1">
      <alignment horizontal="left" vertical="top"/>
    </xf>
    <xf numFmtId="0" fontId="71" fillId="37" borderId="36" xfId="0" applyFont="1" applyFill="1" applyBorder="1" applyAlignment="1" applyProtection="1">
      <alignment horizontal="left" vertical="top"/>
    </xf>
    <xf numFmtId="2" fontId="49" fillId="10" borderId="36" xfId="10" applyNumberFormat="1" applyFont="1" applyBorder="1" applyAlignment="1" applyProtection="1">
      <alignment horizontal="center"/>
      <protection locked="0"/>
    </xf>
    <xf numFmtId="2" fontId="49" fillId="45" borderId="42" xfId="10" applyNumberFormat="1" applyFont="1" applyFill="1" applyBorder="1" applyAlignment="1" applyProtection="1">
      <alignment horizontal="center"/>
      <protection locked="0"/>
    </xf>
  </cellXfs>
  <cellStyles count="591">
    <cellStyle name="20% - Accent1" xfId="1" builtinId="30" customBuiltin="1"/>
    <cellStyle name="20% - Accent1 2" xfId="57"/>
    <cellStyle name="20% - Accent1 2 2" xfId="103"/>
    <cellStyle name="20% - Accent1 2 2 2" xfId="195"/>
    <cellStyle name="20% - Accent1 2 2 2 2" xfId="384"/>
    <cellStyle name="20% - Accent1 2 2 2 3" xfId="568"/>
    <cellStyle name="20% - Accent1 2 2 3" xfId="292"/>
    <cellStyle name="20% - Accent1 2 2 4" xfId="476"/>
    <cellStyle name="20% - Accent1 2 3" xfId="149"/>
    <cellStyle name="20% - Accent1 2 3 2" xfId="338"/>
    <cellStyle name="20% - Accent1 2 3 3" xfId="522"/>
    <cellStyle name="20% - Accent1 2 4" xfId="246"/>
    <cellStyle name="20% - Accent1 2 5" xfId="430"/>
    <cellStyle name="20% - Accent1 3" xfId="80"/>
    <cellStyle name="20% - Accent1 3 2" xfId="172"/>
    <cellStyle name="20% - Accent1 3 2 2" xfId="361"/>
    <cellStyle name="20% - Accent1 3 2 3" xfId="545"/>
    <cellStyle name="20% - Accent1 3 3" xfId="269"/>
    <cellStyle name="20% - Accent1 3 4" xfId="453"/>
    <cellStyle name="20% - Accent1 4" xfId="126"/>
    <cellStyle name="20% - Accent1 4 2" xfId="315"/>
    <cellStyle name="20% - Accent1 4 3" xfId="499"/>
    <cellStyle name="20% - Accent1 5" xfId="221"/>
    <cellStyle name="20% - Accent1 6" xfId="407"/>
    <cellStyle name="20% - Accent2" xfId="2" builtinId="34"/>
    <cellStyle name="20% - Accent2 2" xfId="3"/>
    <cellStyle name="20% - Accent2 2 2" xfId="59"/>
    <cellStyle name="20% - Accent2 2 2 2" xfId="105"/>
    <cellStyle name="20% - Accent2 2 2 2 2" xfId="197"/>
    <cellStyle name="20% - Accent2 2 2 2 2 2" xfId="386"/>
    <cellStyle name="20% - Accent2 2 2 2 2 3" xfId="570"/>
    <cellStyle name="20% - Accent2 2 2 2 3" xfId="294"/>
    <cellStyle name="20% - Accent2 2 2 2 4" xfId="478"/>
    <cellStyle name="20% - Accent2 2 2 3" xfId="151"/>
    <cellStyle name="20% - Accent2 2 2 3 2" xfId="340"/>
    <cellStyle name="20% - Accent2 2 2 3 3" xfId="524"/>
    <cellStyle name="20% - Accent2 2 2 4" xfId="248"/>
    <cellStyle name="20% - Accent2 2 2 5" xfId="432"/>
    <cellStyle name="20% - Accent2 2 3" xfId="82"/>
    <cellStyle name="20% - Accent2 2 3 2" xfId="174"/>
    <cellStyle name="20% - Accent2 2 3 2 2" xfId="363"/>
    <cellStyle name="20% - Accent2 2 3 2 3" xfId="547"/>
    <cellStyle name="20% - Accent2 2 3 3" xfId="271"/>
    <cellStyle name="20% - Accent2 2 3 4" xfId="455"/>
    <cellStyle name="20% - Accent2 2 4" xfId="128"/>
    <cellStyle name="20% - Accent2 2 4 2" xfId="317"/>
    <cellStyle name="20% - Accent2 2 4 3" xfId="501"/>
    <cellStyle name="20% - Accent2 2 5" xfId="233"/>
    <cellStyle name="20% - Accent2 2 6" xfId="409"/>
    <cellStyle name="20% - Accent2 3" xfId="4"/>
    <cellStyle name="20% - Accent2 3 2" xfId="60"/>
    <cellStyle name="20% - Accent2 3 2 2" xfId="106"/>
    <cellStyle name="20% - Accent2 3 2 2 2" xfId="198"/>
    <cellStyle name="20% - Accent2 3 2 2 2 2" xfId="387"/>
    <cellStyle name="20% - Accent2 3 2 2 2 3" xfId="571"/>
    <cellStyle name="20% - Accent2 3 2 2 3" xfId="295"/>
    <cellStyle name="20% - Accent2 3 2 2 4" xfId="479"/>
    <cellStyle name="20% - Accent2 3 2 3" xfId="152"/>
    <cellStyle name="20% - Accent2 3 2 3 2" xfId="341"/>
    <cellStyle name="20% - Accent2 3 2 3 3" xfId="525"/>
    <cellStyle name="20% - Accent2 3 2 4" xfId="249"/>
    <cellStyle name="20% - Accent2 3 2 5" xfId="433"/>
    <cellStyle name="20% - Accent2 3 3" xfId="83"/>
    <cellStyle name="20% - Accent2 3 3 2" xfId="175"/>
    <cellStyle name="20% - Accent2 3 3 2 2" xfId="364"/>
    <cellStyle name="20% - Accent2 3 3 2 3" xfId="548"/>
    <cellStyle name="20% - Accent2 3 3 3" xfId="272"/>
    <cellStyle name="20% - Accent2 3 3 4" xfId="456"/>
    <cellStyle name="20% - Accent2 3 4" xfId="129"/>
    <cellStyle name="20% - Accent2 3 4 2" xfId="318"/>
    <cellStyle name="20% - Accent2 3 4 3" xfId="502"/>
    <cellStyle name="20% - Accent2 3 5" xfId="238"/>
    <cellStyle name="20% - Accent2 3 6" xfId="410"/>
    <cellStyle name="20% - Accent2 4" xfId="58"/>
    <cellStyle name="20% - Accent2 4 2" xfId="104"/>
    <cellStyle name="20% - Accent2 4 2 2" xfId="196"/>
    <cellStyle name="20% - Accent2 4 2 2 2" xfId="385"/>
    <cellStyle name="20% - Accent2 4 2 2 3" xfId="569"/>
    <cellStyle name="20% - Accent2 4 2 3" xfId="293"/>
    <cellStyle name="20% - Accent2 4 2 4" xfId="477"/>
    <cellStyle name="20% - Accent2 4 3" xfId="150"/>
    <cellStyle name="20% - Accent2 4 3 2" xfId="339"/>
    <cellStyle name="20% - Accent2 4 3 3" xfId="523"/>
    <cellStyle name="20% - Accent2 4 4" xfId="247"/>
    <cellStyle name="20% - Accent2 4 5" xfId="431"/>
    <cellStyle name="20% - Accent2 5" xfId="81"/>
    <cellStyle name="20% - Accent2 5 2" xfId="173"/>
    <cellStyle name="20% - Accent2 5 2 2" xfId="362"/>
    <cellStyle name="20% - Accent2 5 2 3" xfId="546"/>
    <cellStyle name="20% - Accent2 5 3" xfId="270"/>
    <cellStyle name="20% - Accent2 5 4" xfId="454"/>
    <cellStyle name="20% - Accent2 6" xfId="127"/>
    <cellStyle name="20% - Accent2 6 2" xfId="316"/>
    <cellStyle name="20% - Accent2 6 3" xfId="500"/>
    <cellStyle name="20% - Accent2 7" xfId="223"/>
    <cellStyle name="20% - Accent2 8" xfId="408"/>
    <cellStyle name="20% - Accent3" xfId="5" builtinId="38" customBuiltin="1"/>
    <cellStyle name="20% - Accent3 2" xfId="61"/>
    <cellStyle name="20% - Accent3 2 2" xfId="107"/>
    <cellStyle name="20% - Accent3 2 2 2" xfId="199"/>
    <cellStyle name="20% - Accent3 2 2 2 2" xfId="388"/>
    <cellStyle name="20% - Accent3 2 2 2 3" xfId="572"/>
    <cellStyle name="20% - Accent3 2 2 3" xfId="296"/>
    <cellStyle name="20% - Accent3 2 2 4" xfId="480"/>
    <cellStyle name="20% - Accent3 2 3" xfId="153"/>
    <cellStyle name="20% - Accent3 2 3 2" xfId="342"/>
    <cellStyle name="20% - Accent3 2 3 3" xfId="526"/>
    <cellStyle name="20% - Accent3 2 4" xfId="250"/>
    <cellStyle name="20% - Accent3 2 5" xfId="434"/>
    <cellStyle name="20% - Accent3 3" xfId="84"/>
    <cellStyle name="20% - Accent3 3 2" xfId="176"/>
    <cellStyle name="20% - Accent3 3 2 2" xfId="365"/>
    <cellStyle name="20% - Accent3 3 2 3" xfId="549"/>
    <cellStyle name="20% - Accent3 3 3" xfId="273"/>
    <cellStyle name="20% - Accent3 3 4" xfId="457"/>
    <cellStyle name="20% - Accent3 4" xfId="130"/>
    <cellStyle name="20% - Accent3 4 2" xfId="319"/>
    <cellStyle name="20% - Accent3 4 3" xfId="503"/>
    <cellStyle name="20% - Accent3 5" xfId="225"/>
    <cellStyle name="20% - Accent3 6" xfId="411"/>
    <cellStyle name="20% - Accent4" xfId="6" builtinId="42" customBuiltin="1"/>
    <cellStyle name="20% - Accent4 2" xfId="62"/>
    <cellStyle name="20% - Accent4 2 2" xfId="108"/>
    <cellStyle name="20% - Accent4 2 2 2" xfId="200"/>
    <cellStyle name="20% - Accent4 2 2 2 2" xfId="389"/>
    <cellStyle name="20% - Accent4 2 2 2 3" xfId="573"/>
    <cellStyle name="20% - Accent4 2 2 3" xfId="297"/>
    <cellStyle name="20% - Accent4 2 2 4" xfId="481"/>
    <cellStyle name="20% - Accent4 2 3" xfId="154"/>
    <cellStyle name="20% - Accent4 2 3 2" xfId="343"/>
    <cellStyle name="20% - Accent4 2 3 3" xfId="527"/>
    <cellStyle name="20% - Accent4 2 4" xfId="251"/>
    <cellStyle name="20% - Accent4 2 5" xfId="435"/>
    <cellStyle name="20% - Accent4 3" xfId="85"/>
    <cellStyle name="20% - Accent4 3 2" xfId="177"/>
    <cellStyle name="20% - Accent4 3 2 2" xfId="366"/>
    <cellStyle name="20% - Accent4 3 2 3" xfId="550"/>
    <cellStyle name="20% - Accent4 3 3" xfId="274"/>
    <cellStyle name="20% - Accent4 3 4" xfId="458"/>
    <cellStyle name="20% - Accent4 4" xfId="131"/>
    <cellStyle name="20% - Accent4 4 2" xfId="320"/>
    <cellStyle name="20% - Accent4 4 3" xfId="504"/>
    <cellStyle name="20% - Accent4 5" xfId="227"/>
    <cellStyle name="20% - Accent4 6" xfId="412"/>
    <cellStyle name="20% - Accent5" xfId="218" builtinId="46" customBuiltin="1"/>
    <cellStyle name="20% - Accent5 2" xfId="7"/>
    <cellStyle name="20% - Accent5 2 2" xfId="63"/>
    <cellStyle name="20% - Accent5 2 2 2" xfId="109"/>
    <cellStyle name="20% - Accent5 2 2 2 2" xfId="201"/>
    <cellStyle name="20% - Accent5 2 2 2 2 2" xfId="390"/>
    <cellStyle name="20% - Accent5 2 2 2 2 3" xfId="574"/>
    <cellStyle name="20% - Accent5 2 2 2 3" xfId="298"/>
    <cellStyle name="20% - Accent5 2 2 2 4" xfId="482"/>
    <cellStyle name="20% - Accent5 2 2 3" xfId="155"/>
    <cellStyle name="20% - Accent5 2 2 3 2" xfId="344"/>
    <cellStyle name="20% - Accent5 2 2 3 3" xfId="528"/>
    <cellStyle name="20% - Accent5 2 2 4" xfId="252"/>
    <cellStyle name="20% - Accent5 2 2 5" xfId="436"/>
    <cellStyle name="20% - Accent5 2 3" xfId="86"/>
    <cellStyle name="20% - Accent5 2 3 2" xfId="178"/>
    <cellStyle name="20% - Accent5 2 3 2 2" xfId="367"/>
    <cellStyle name="20% - Accent5 2 3 2 3" xfId="551"/>
    <cellStyle name="20% - Accent5 2 3 3" xfId="275"/>
    <cellStyle name="20% - Accent5 2 3 4" xfId="459"/>
    <cellStyle name="20% - Accent5 2 4" xfId="132"/>
    <cellStyle name="20% - Accent5 2 4 2" xfId="321"/>
    <cellStyle name="20% - Accent5 2 4 3" xfId="505"/>
    <cellStyle name="20% - Accent5 2 5" xfId="232"/>
    <cellStyle name="20% - Accent5 2 6" xfId="413"/>
    <cellStyle name="20% - Accent5 3" xfId="8"/>
    <cellStyle name="20% - Accent5 3 2" xfId="64"/>
    <cellStyle name="20% - Accent5 3 2 2" xfId="110"/>
    <cellStyle name="20% - Accent5 3 2 2 2" xfId="202"/>
    <cellStyle name="20% - Accent5 3 2 2 2 2" xfId="391"/>
    <cellStyle name="20% - Accent5 3 2 2 2 3" xfId="575"/>
    <cellStyle name="20% - Accent5 3 2 2 3" xfId="299"/>
    <cellStyle name="20% - Accent5 3 2 2 4" xfId="483"/>
    <cellStyle name="20% - Accent5 3 2 3" xfId="156"/>
    <cellStyle name="20% - Accent5 3 2 3 2" xfId="345"/>
    <cellStyle name="20% - Accent5 3 2 3 3" xfId="529"/>
    <cellStyle name="20% - Accent5 3 2 4" xfId="253"/>
    <cellStyle name="20% - Accent5 3 2 5" xfId="437"/>
    <cellStyle name="20% - Accent5 3 3" xfId="87"/>
    <cellStyle name="20% - Accent5 3 3 2" xfId="179"/>
    <cellStyle name="20% - Accent5 3 3 2 2" xfId="368"/>
    <cellStyle name="20% - Accent5 3 3 2 3" xfId="552"/>
    <cellStyle name="20% - Accent5 3 3 3" xfId="276"/>
    <cellStyle name="20% - Accent5 3 3 4" xfId="460"/>
    <cellStyle name="20% - Accent5 3 4" xfId="133"/>
    <cellStyle name="20% - Accent5 3 4 2" xfId="322"/>
    <cellStyle name="20% - Accent5 3 4 3" xfId="506"/>
    <cellStyle name="20% - Accent5 3 5" xfId="236"/>
    <cellStyle name="20% - Accent5 3 6" xfId="414"/>
    <cellStyle name="20% - Accent6" xfId="9" builtinId="50" customBuiltin="1"/>
    <cellStyle name="20% - Accent6 2" xfId="65"/>
    <cellStyle name="20% - Accent6 2 2" xfId="111"/>
    <cellStyle name="20% - Accent6 2 2 2" xfId="203"/>
    <cellStyle name="20% - Accent6 2 2 2 2" xfId="392"/>
    <cellStyle name="20% - Accent6 2 2 2 3" xfId="576"/>
    <cellStyle name="20% - Accent6 2 2 3" xfId="300"/>
    <cellStyle name="20% - Accent6 2 2 4" xfId="484"/>
    <cellStyle name="20% - Accent6 2 3" xfId="157"/>
    <cellStyle name="20% - Accent6 2 3 2" xfId="346"/>
    <cellStyle name="20% - Accent6 2 3 3" xfId="530"/>
    <cellStyle name="20% - Accent6 2 4" xfId="254"/>
    <cellStyle name="20% - Accent6 2 5" xfId="438"/>
    <cellStyle name="20% - Accent6 3" xfId="88"/>
    <cellStyle name="20% - Accent6 3 2" xfId="180"/>
    <cellStyle name="20% - Accent6 3 2 2" xfId="369"/>
    <cellStyle name="20% - Accent6 3 2 3" xfId="553"/>
    <cellStyle name="20% - Accent6 3 3" xfId="277"/>
    <cellStyle name="20% - Accent6 3 4" xfId="461"/>
    <cellStyle name="20% - Accent6 4" xfId="134"/>
    <cellStyle name="20% - Accent6 4 2" xfId="323"/>
    <cellStyle name="20% - Accent6 4 3" xfId="507"/>
    <cellStyle name="20% - Accent6 5" xfId="230"/>
    <cellStyle name="20% - Accent6 6" xfId="415"/>
    <cellStyle name="40% - Accent1" xfId="10" builtinId="31"/>
    <cellStyle name="40% - Accent1 2" xfId="11"/>
    <cellStyle name="40% - Accent1 2 2" xfId="67"/>
    <cellStyle name="40% - Accent1 2 2 2" xfId="113"/>
    <cellStyle name="40% - Accent1 2 2 2 2" xfId="205"/>
    <cellStyle name="40% - Accent1 2 2 2 2 2" xfId="394"/>
    <cellStyle name="40% - Accent1 2 2 2 2 3" xfId="578"/>
    <cellStyle name="40% - Accent1 2 2 2 3" xfId="302"/>
    <cellStyle name="40% - Accent1 2 2 2 4" xfId="486"/>
    <cellStyle name="40% - Accent1 2 2 3" xfId="159"/>
    <cellStyle name="40% - Accent1 2 2 3 2" xfId="348"/>
    <cellStyle name="40% - Accent1 2 2 3 3" xfId="532"/>
    <cellStyle name="40% - Accent1 2 2 4" xfId="256"/>
    <cellStyle name="40% - Accent1 2 2 5" xfId="440"/>
    <cellStyle name="40% - Accent1 2 3" xfId="90"/>
    <cellStyle name="40% - Accent1 2 3 2" xfId="182"/>
    <cellStyle name="40% - Accent1 2 3 2 2" xfId="371"/>
    <cellStyle name="40% - Accent1 2 3 2 3" xfId="555"/>
    <cellStyle name="40% - Accent1 2 3 3" xfId="279"/>
    <cellStyle name="40% - Accent1 2 3 4" xfId="463"/>
    <cellStyle name="40% - Accent1 2 4" xfId="136"/>
    <cellStyle name="40% - Accent1 2 4 2" xfId="325"/>
    <cellStyle name="40% - Accent1 2 4 3" xfId="509"/>
    <cellStyle name="40% - Accent1 2 5" xfId="235"/>
    <cellStyle name="40% - Accent1 2 6" xfId="417"/>
    <cellStyle name="40% - Accent1 3" xfId="12"/>
    <cellStyle name="40% - Accent1 3 2" xfId="68"/>
    <cellStyle name="40% - Accent1 3 2 2" xfId="114"/>
    <cellStyle name="40% - Accent1 3 2 2 2" xfId="206"/>
    <cellStyle name="40% - Accent1 3 2 2 2 2" xfId="395"/>
    <cellStyle name="40% - Accent1 3 2 2 2 3" xfId="579"/>
    <cellStyle name="40% - Accent1 3 2 2 3" xfId="303"/>
    <cellStyle name="40% - Accent1 3 2 2 4" xfId="487"/>
    <cellStyle name="40% - Accent1 3 2 3" xfId="160"/>
    <cellStyle name="40% - Accent1 3 2 3 2" xfId="349"/>
    <cellStyle name="40% - Accent1 3 2 3 3" xfId="533"/>
    <cellStyle name="40% - Accent1 3 2 4" xfId="257"/>
    <cellStyle name="40% - Accent1 3 2 5" xfId="441"/>
    <cellStyle name="40% - Accent1 3 3" xfId="91"/>
    <cellStyle name="40% - Accent1 3 3 2" xfId="183"/>
    <cellStyle name="40% - Accent1 3 3 2 2" xfId="372"/>
    <cellStyle name="40% - Accent1 3 3 2 3" xfId="556"/>
    <cellStyle name="40% - Accent1 3 3 3" xfId="280"/>
    <cellStyle name="40% - Accent1 3 3 4" xfId="464"/>
    <cellStyle name="40% - Accent1 3 4" xfId="137"/>
    <cellStyle name="40% - Accent1 3 4 2" xfId="326"/>
    <cellStyle name="40% - Accent1 3 4 3" xfId="510"/>
    <cellStyle name="40% - Accent1 3 5" xfId="240"/>
    <cellStyle name="40% - Accent1 3 6" xfId="418"/>
    <cellStyle name="40% - Accent1 4" xfId="66"/>
    <cellStyle name="40% - Accent1 4 2" xfId="112"/>
    <cellStyle name="40% - Accent1 4 2 2" xfId="204"/>
    <cellStyle name="40% - Accent1 4 2 2 2" xfId="393"/>
    <cellStyle name="40% - Accent1 4 2 2 3" xfId="577"/>
    <cellStyle name="40% - Accent1 4 2 3" xfId="301"/>
    <cellStyle name="40% - Accent1 4 2 4" xfId="485"/>
    <cellStyle name="40% - Accent1 4 3" xfId="158"/>
    <cellStyle name="40% - Accent1 4 3 2" xfId="347"/>
    <cellStyle name="40% - Accent1 4 3 3" xfId="531"/>
    <cellStyle name="40% - Accent1 4 4" xfId="255"/>
    <cellStyle name="40% - Accent1 4 5" xfId="439"/>
    <cellStyle name="40% - Accent1 5" xfId="89"/>
    <cellStyle name="40% - Accent1 5 2" xfId="181"/>
    <cellStyle name="40% - Accent1 5 2 2" xfId="370"/>
    <cellStyle name="40% - Accent1 5 2 3" xfId="554"/>
    <cellStyle name="40% - Accent1 5 3" xfId="278"/>
    <cellStyle name="40% - Accent1 5 4" xfId="462"/>
    <cellStyle name="40% - Accent1 6" xfId="135"/>
    <cellStyle name="40% - Accent1 6 2" xfId="324"/>
    <cellStyle name="40% - Accent1 6 3" xfId="508"/>
    <cellStyle name="40% - Accent1 7" xfId="222"/>
    <cellStyle name="40% - Accent1 8" xfId="416"/>
    <cellStyle name="40% - Accent2" xfId="13" builtinId="35" customBuiltin="1"/>
    <cellStyle name="40% - Accent2 2" xfId="69"/>
    <cellStyle name="40% - Accent2 2 2" xfId="115"/>
    <cellStyle name="40% - Accent2 2 2 2" xfId="207"/>
    <cellStyle name="40% - Accent2 2 2 2 2" xfId="396"/>
    <cellStyle name="40% - Accent2 2 2 2 3" xfId="580"/>
    <cellStyle name="40% - Accent2 2 2 3" xfId="304"/>
    <cellStyle name="40% - Accent2 2 2 4" xfId="488"/>
    <cellStyle name="40% - Accent2 2 3" xfId="161"/>
    <cellStyle name="40% - Accent2 2 3 2" xfId="350"/>
    <cellStyle name="40% - Accent2 2 3 3" xfId="534"/>
    <cellStyle name="40% - Accent2 2 4" xfId="258"/>
    <cellStyle name="40% - Accent2 2 5" xfId="442"/>
    <cellStyle name="40% - Accent2 3" xfId="92"/>
    <cellStyle name="40% - Accent2 3 2" xfId="184"/>
    <cellStyle name="40% - Accent2 3 2 2" xfId="373"/>
    <cellStyle name="40% - Accent2 3 2 3" xfId="557"/>
    <cellStyle name="40% - Accent2 3 3" xfId="281"/>
    <cellStyle name="40% - Accent2 3 4" xfId="465"/>
    <cellStyle name="40% - Accent2 4" xfId="138"/>
    <cellStyle name="40% - Accent2 4 2" xfId="327"/>
    <cellStyle name="40% - Accent2 4 3" xfId="511"/>
    <cellStyle name="40% - Accent2 5" xfId="224"/>
    <cellStyle name="40% - Accent2 6" xfId="419"/>
    <cellStyle name="40% - Accent3" xfId="14" builtinId="39"/>
    <cellStyle name="40% - Accent3 2" xfId="15"/>
    <cellStyle name="40% - Accent3 2 2" xfId="71"/>
    <cellStyle name="40% - Accent3 2 2 2" xfId="117"/>
    <cellStyle name="40% - Accent3 2 2 2 2" xfId="209"/>
    <cellStyle name="40% - Accent3 2 2 2 2 2" xfId="398"/>
    <cellStyle name="40% - Accent3 2 2 2 2 3" xfId="582"/>
    <cellStyle name="40% - Accent3 2 2 2 3" xfId="306"/>
    <cellStyle name="40% - Accent3 2 2 2 4" xfId="490"/>
    <cellStyle name="40% - Accent3 2 2 3" xfId="163"/>
    <cellStyle name="40% - Accent3 2 2 3 2" xfId="352"/>
    <cellStyle name="40% - Accent3 2 2 3 3" xfId="536"/>
    <cellStyle name="40% - Accent3 2 2 4" xfId="260"/>
    <cellStyle name="40% - Accent3 2 2 5" xfId="444"/>
    <cellStyle name="40% - Accent3 2 3" xfId="94"/>
    <cellStyle name="40% - Accent3 2 3 2" xfId="186"/>
    <cellStyle name="40% - Accent3 2 3 2 2" xfId="375"/>
    <cellStyle name="40% - Accent3 2 3 2 3" xfId="559"/>
    <cellStyle name="40% - Accent3 2 3 3" xfId="283"/>
    <cellStyle name="40% - Accent3 2 3 4" xfId="467"/>
    <cellStyle name="40% - Accent3 2 4" xfId="140"/>
    <cellStyle name="40% - Accent3 2 4 2" xfId="329"/>
    <cellStyle name="40% - Accent3 2 4 3" xfId="513"/>
    <cellStyle name="40% - Accent3 2 5" xfId="239"/>
    <cellStyle name="40% - Accent3 2 6" xfId="421"/>
    <cellStyle name="40% - Accent3 3" xfId="16"/>
    <cellStyle name="40% - Accent3 3 2" xfId="72"/>
    <cellStyle name="40% - Accent3 3 2 2" xfId="118"/>
    <cellStyle name="40% - Accent3 3 2 2 2" xfId="210"/>
    <cellStyle name="40% - Accent3 3 2 2 2 2" xfId="399"/>
    <cellStyle name="40% - Accent3 3 2 2 2 3" xfId="583"/>
    <cellStyle name="40% - Accent3 3 2 2 3" xfId="307"/>
    <cellStyle name="40% - Accent3 3 2 2 4" xfId="491"/>
    <cellStyle name="40% - Accent3 3 2 3" xfId="164"/>
    <cellStyle name="40% - Accent3 3 2 3 2" xfId="353"/>
    <cellStyle name="40% - Accent3 3 2 3 3" xfId="537"/>
    <cellStyle name="40% - Accent3 3 2 4" xfId="261"/>
    <cellStyle name="40% - Accent3 3 2 5" xfId="445"/>
    <cellStyle name="40% - Accent3 3 3" xfId="95"/>
    <cellStyle name="40% - Accent3 3 3 2" xfId="187"/>
    <cellStyle name="40% - Accent3 3 3 2 2" xfId="376"/>
    <cellStyle name="40% - Accent3 3 3 2 3" xfId="560"/>
    <cellStyle name="40% - Accent3 3 3 3" xfId="284"/>
    <cellStyle name="40% - Accent3 3 3 4" xfId="468"/>
    <cellStyle name="40% - Accent3 3 4" xfId="141"/>
    <cellStyle name="40% - Accent3 3 4 2" xfId="330"/>
    <cellStyle name="40% - Accent3 3 4 3" xfId="514"/>
    <cellStyle name="40% - Accent3 3 5" xfId="234"/>
    <cellStyle name="40% - Accent3 3 6" xfId="422"/>
    <cellStyle name="40% - Accent3 4" xfId="70"/>
    <cellStyle name="40% - Accent3 4 2" xfId="116"/>
    <cellStyle name="40% - Accent3 4 2 2" xfId="208"/>
    <cellStyle name="40% - Accent3 4 2 2 2" xfId="397"/>
    <cellStyle name="40% - Accent3 4 2 2 3" xfId="581"/>
    <cellStyle name="40% - Accent3 4 2 3" xfId="305"/>
    <cellStyle name="40% - Accent3 4 2 4" xfId="489"/>
    <cellStyle name="40% - Accent3 4 3" xfId="162"/>
    <cellStyle name="40% - Accent3 4 3 2" xfId="351"/>
    <cellStyle name="40% - Accent3 4 3 3" xfId="535"/>
    <cellStyle name="40% - Accent3 4 4" xfId="259"/>
    <cellStyle name="40% - Accent3 4 5" xfId="443"/>
    <cellStyle name="40% - Accent3 5" xfId="93"/>
    <cellStyle name="40% - Accent3 5 2" xfId="185"/>
    <cellStyle name="40% - Accent3 5 2 2" xfId="374"/>
    <cellStyle name="40% - Accent3 5 2 3" xfId="558"/>
    <cellStyle name="40% - Accent3 5 3" xfId="282"/>
    <cellStyle name="40% - Accent3 5 4" xfId="466"/>
    <cellStyle name="40% - Accent3 6" xfId="139"/>
    <cellStyle name="40% - Accent3 6 2" xfId="328"/>
    <cellStyle name="40% - Accent3 6 3" xfId="512"/>
    <cellStyle name="40% - Accent3 7" xfId="226"/>
    <cellStyle name="40% - Accent3 8" xfId="420"/>
    <cellStyle name="40% - Accent4" xfId="17" builtinId="43" customBuiltin="1"/>
    <cellStyle name="40% - Accent4 2" xfId="73"/>
    <cellStyle name="40% - Accent4 2 2" xfId="119"/>
    <cellStyle name="40% - Accent4 2 2 2" xfId="211"/>
    <cellStyle name="40% - Accent4 2 2 2 2" xfId="400"/>
    <cellStyle name="40% - Accent4 2 2 2 3" xfId="584"/>
    <cellStyle name="40% - Accent4 2 2 3" xfId="308"/>
    <cellStyle name="40% - Accent4 2 2 4" xfId="492"/>
    <cellStyle name="40% - Accent4 2 3" xfId="165"/>
    <cellStyle name="40% - Accent4 2 3 2" xfId="354"/>
    <cellStyle name="40% - Accent4 2 3 3" xfId="538"/>
    <cellStyle name="40% - Accent4 2 4" xfId="262"/>
    <cellStyle name="40% - Accent4 2 5" xfId="446"/>
    <cellStyle name="40% - Accent4 3" xfId="96"/>
    <cellStyle name="40% - Accent4 3 2" xfId="188"/>
    <cellStyle name="40% - Accent4 3 2 2" xfId="377"/>
    <cellStyle name="40% - Accent4 3 2 3" xfId="561"/>
    <cellStyle name="40% - Accent4 3 3" xfId="285"/>
    <cellStyle name="40% - Accent4 3 4" xfId="469"/>
    <cellStyle name="40% - Accent4 4" xfId="142"/>
    <cellStyle name="40% - Accent4 4 2" xfId="331"/>
    <cellStyle name="40% - Accent4 4 3" xfId="515"/>
    <cellStyle name="40% - Accent4 5" xfId="228"/>
    <cellStyle name="40% - Accent4 6" xfId="423"/>
    <cellStyle name="40% - Accent5" xfId="18" builtinId="47"/>
    <cellStyle name="40% - Accent5 2" xfId="19"/>
    <cellStyle name="40% - Accent5 2 2" xfId="75"/>
    <cellStyle name="40% - Accent5 2 2 2" xfId="121"/>
    <cellStyle name="40% - Accent5 2 2 2 2" xfId="213"/>
    <cellStyle name="40% - Accent5 2 2 2 2 2" xfId="402"/>
    <cellStyle name="40% - Accent5 2 2 2 2 3" xfId="586"/>
    <cellStyle name="40% - Accent5 2 2 2 3" xfId="310"/>
    <cellStyle name="40% - Accent5 2 2 2 4" xfId="494"/>
    <cellStyle name="40% - Accent5 2 2 3" xfId="167"/>
    <cellStyle name="40% - Accent5 2 2 3 2" xfId="356"/>
    <cellStyle name="40% - Accent5 2 2 3 3" xfId="540"/>
    <cellStyle name="40% - Accent5 2 2 4" xfId="264"/>
    <cellStyle name="40% - Accent5 2 2 5" xfId="448"/>
    <cellStyle name="40% - Accent5 2 3" xfId="98"/>
    <cellStyle name="40% - Accent5 2 3 2" xfId="190"/>
    <cellStyle name="40% - Accent5 2 3 2 2" xfId="379"/>
    <cellStyle name="40% - Accent5 2 3 2 3" xfId="563"/>
    <cellStyle name="40% - Accent5 2 3 3" xfId="287"/>
    <cellStyle name="40% - Accent5 2 3 4" xfId="471"/>
    <cellStyle name="40% - Accent5 2 4" xfId="144"/>
    <cellStyle name="40% - Accent5 2 4 2" xfId="333"/>
    <cellStyle name="40% - Accent5 2 4 3" xfId="517"/>
    <cellStyle name="40% - Accent5 2 5" xfId="241"/>
    <cellStyle name="40% - Accent5 2 6" xfId="425"/>
    <cellStyle name="40% - Accent5 3" xfId="74"/>
    <cellStyle name="40% - Accent5 3 2" xfId="120"/>
    <cellStyle name="40% - Accent5 3 2 2" xfId="212"/>
    <cellStyle name="40% - Accent5 3 2 2 2" xfId="401"/>
    <cellStyle name="40% - Accent5 3 2 2 3" xfId="585"/>
    <cellStyle name="40% - Accent5 3 2 3" xfId="309"/>
    <cellStyle name="40% - Accent5 3 2 4" xfId="493"/>
    <cellStyle name="40% - Accent5 3 3" xfId="166"/>
    <cellStyle name="40% - Accent5 3 3 2" xfId="355"/>
    <cellStyle name="40% - Accent5 3 3 3" xfId="539"/>
    <cellStyle name="40% - Accent5 3 4" xfId="263"/>
    <cellStyle name="40% - Accent5 3 5" xfId="447"/>
    <cellStyle name="40% - Accent5 4" xfId="97"/>
    <cellStyle name="40% - Accent5 4 2" xfId="189"/>
    <cellStyle name="40% - Accent5 4 2 2" xfId="378"/>
    <cellStyle name="40% - Accent5 4 2 3" xfId="562"/>
    <cellStyle name="40% - Accent5 4 3" xfId="286"/>
    <cellStyle name="40% - Accent5 4 4" xfId="470"/>
    <cellStyle name="40% - Accent5 5" xfId="143"/>
    <cellStyle name="40% - Accent5 5 2" xfId="332"/>
    <cellStyle name="40% - Accent5 5 3" xfId="516"/>
    <cellStyle name="40% - Accent5 6" xfId="229"/>
    <cellStyle name="40% - Accent5 7" xfId="424"/>
    <cellStyle name="40% - Accent6" xfId="20" builtinId="51"/>
    <cellStyle name="40% - Accent6 2" xfId="21"/>
    <cellStyle name="40% - Accent6 2 2" xfId="77"/>
    <cellStyle name="40% - Accent6 2 2 2" xfId="123"/>
    <cellStyle name="40% - Accent6 2 2 2 2" xfId="215"/>
    <cellStyle name="40% - Accent6 2 2 2 2 2" xfId="404"/>
    <cellStyle name="40% - Accent6 2 2 2 2 3" xfId="588"/>
    <cellStyle name="40% - Accent6 2 2 2 3" xfId="312"/>
    <cellStyle name="40% - Accent6 2 2 2 4" xfId="496"/>
    <cellStyle name="40% - Accent6 2 2 3" xfId="169"/>
    <cellStyle name="40% - Accent6 2 2 3 2" xfId="358"/>
    <cellStyle name="40% - Accent6 2 2 3 3" xfId="542"/>
    <cellStyle name="40% - Accent6 2 2 4" xfId="266"/>
    <cellStyle name="40% - Accent6 2 2 5" xfId="450"/>
    <cellStyle name="40% - Accent6 2 3" xfId="100"/>
    <cellStyle name="40% - Accent6 2 3 2" xfId="192"/>
    <cellStyle name="40% - Accent6 2 3 2 2" xfId="381"/>
    <cellStyle name="40% - Accent6 2 3 2 3" xfId="565"/>
    <cellStyle name="40% - Accent6 2 3 3" xfId="289"/>
    <cellStyle name="40% - Accent6 2 3 4" xfId="473"/>
    <cellStyle name="40% - Accent6 2 4" xfId="146"/>
    <cellStyle name="40% - Accent6 2 4 2" xfId="335"/>
    <cellStyle name="40% - Accent6 2 4 3" xfId="519"/>
    <cellStyle name="40% - Accent6 2 5" xfId="242"/>
    <cellStyle name="40% - Accent6 2 6" xfId="427"/>
    <cellStyle name="40% - Accent6 3" xfId="76"/>
    <cellStyle name="40% - Accent6 3 2" xfId="122"/>
    <cellStyle name="40% - Accent6 3 2 2" xfId="214"/>
    <cellStyle name="40% - Accent6 3 2 2 2" xfId="403"/>
    <cellStyle name="40% - Accent6 3 2 2 3" xfId="587"/>
    <cellStyle name="40% - Accent6 3 2 3" xfId="311"/>
    <cellStyle name="40% - Accent6 3 2 4" xfId="495"/>
    <cellStyle name="40% - Accent6 3 3" xfId="168"/>
    <cellStyle name="40% - Accent6 3 3 2" xfId="357"/>
    <cellStyle name="40% - Accent6 3 3 3" xfId="541"/>
    <cellStyle name="40% - Accent6 3 4" xfId="265"/>
    <cellStyle name="40% - Accent6 3 5" xfId="449"/>
    <cellStyle name="40% - Accent6 4" xfId="99"/>
    <cellStyle name="40% - Accent6 4 2" xfId="191"/>
    <cellStyle name="40% - Accent6 4 2 2" xfId="380"/>
    <cellStyle name="40% - Accent6 4 2 3" xfId="564"/>
    <cellStyle name="40% - Accent6 4 3" xfId="288"/>
    <cellStyle name="40% - Accent6 4 4" xfId="472"/>
    <cellStyle name="40% - Accent6 5" xfId="145"/>
    <cellStyle name="40% - Accent6 5 2" xfId="334"/>
    <cellStyle name="40% - Accent6 5 3" xfId="518"/>
    <cellStyle name="40% - Accent6 6" xfId="231"/>
    <cellStyle name="40% - Accent6 7" xfId="426"/>
    <cellStyle name="60% - Accent1" xfId="22" builtinId="32" customBuiltin="1"/>
    <cellStyle name="60% - Accent2" xfId="23" builtinId="36" customBuiltin="1"/>
    <cellStyle name="60% - Accent3" xfId="24" builtinId="40" customBuiltin="1"/>
    <cellStyle name="60% - Accent4" xfId="25" builtinId="44" customBuiltin="1"/>
    <cellStyle name="60% - Accent5" xfId="26" builtinId="48" customBuiltin="1"/>
    <cellStyle name="60% - Accent6" xfId="27" builtinId="52" customBuiltin="1"/>
    <cellStyle name="Accent1" xfId="28" builtinId="29" customBuiltin="1"/>
    <cellStyle name="Accent2" xfId="29" builtinId="33" customBuiltin="1"/>
    <cellStyle name="Accent3" xfId="30" builtinId="37" customBuiltin="1"/>
    <cellStyle name="Accent4" xfId="31" builtinId="41" customBuiltin="1"/>
    <cellStyle name="Accent5" xfId="32" builtinId="45" customBuiltin="1"/>
    <cellStyle name="Accent6" xfId="33" builtinId="49" customBuiltin="1"/>
    <cellStyle name="Bad" xfId="34" builtinId="27" customBuiltin="1"/>
    <cellStyle name="Calculation" xfId="35" builtinId="22" customBuiltin="1"/>
    <cellStyle name="Check Cell" xfId="36" builtinId="23" customBuiltin="1"/>
    <cellStyle name="Comma 2" xfId="37"/>
    <cellStyle name="Explanatory Text" xfId="38" builtinId="53" customBuiltin="1"/>
    <cellStyle name="Good" xfId="39" builtinId="26" customBuiltin="1"/>
    <cellStyle name="Heading 1" xfId="40" builtinId="16" customBuiltin="1"/>
    <cellStyle name="Heading 2" xfId="41" builtinId="17" customBuiltin="1"/>
    <cellStyle name="Heading 3" xfId="42" builtinId="18" customBuiltin="1"/>
    <cellStyle name="Heading 4" xfId="43" builtinId="19" customBuiltin="1"/>
    <cellStyle name="Input" xfId="44" builtinId="20" customBuiltin="1"/>
    <cellStyle name="Linked Cell" xfId="45" builtinId="24" customBuiltin="1"/>
    <cellStyle name="Neutral" xfId="46" builtinId="28" customBuiltin="1"/>
    <cellStyle name="Normal" xfId="0" builtinId="0"/>
    <cellStyle name="Normal 2" xfId="47"/>
    <cellStyle name="Normal 3" xfId="48"/>
    <cellStyle name="Normal 3 2" xfId="78"/>
    <cellStyle name="Normal 3 2 2" xfId="124"/>
    <cellStyle name="Normal 3 2 2 2" xfId="216"/>
    <cellStyle name="Normal 3 2 2 2 2" xfId="405"/>
    <cellStyle name="Normal 3 2 2 2 3" xfId="589"/>
    <cellStyle name="Normal 3 2 2 3" xfId="313"/>
    <cellStyle name="Normal 3 2 2 4" xfId="497"/>
    <cellStyle name="Normal 3 2 3" xfId="170"/>
    <cellStyle name="Normal 3 2 3 2" xfId="359"/>
    <cellStyle name="Normal 3 2 3 3" xfId="543"/>
    <cellStyle name="Normal 3 2 4" xfId="267"/>
    <cellStyle name="Normal 3 2 5" xfId="451"/>
    <cellStyle name="Normal 3 3" xfId="101"/>
    <cellStyle name="Normal 3 3 2" xfId="193"/>
    <cellStyle name="Normal 3 3 2 2" xfId="382"/>
    <cellStyle name="Normal 3 3 2 3" xfId="566"/>
    <cellStyle name="Normal 3 3 3" xfId="290"/>
    <cellStyle name="Normal 3 3 4" xfId="474"/>
    <cellStyle name="Normal 3 4" xfId="147"/>
    <cellStyle name="Normal 3 4 2" xfId="336"/>
    <cellStyle name="Normal 3 4 3" xfId="520"/>
    <cellStyle name="Normal 3 5" xfId="243"/>
    <cellStyle name="Normal 3 6" xfId="428"/>
    <cellStyle name="Normal 4" xfId="237"/>
    <cellStyle name="Normal 5" xfId="219"/>
    <cellStyle name="Note 2" xfId="49"/>
    <cellStyle name="Note 2 2" xfId="79"/>
    <cellStyle name="Note 2 2 2" xfId="125"/>
    <cellStyle name="Note 2 2 2 2" xfId="217"/>
    <cellStyle name="Note 2 2 2 2 2" xfId="406"/>
    <cellStyle name="Note 2 2 2 2 3" xfId="590"/>
    <cellStyle name="Note 2 2 2 3" xfId="314"/>
    <cellStyle name="Note 2 2 2 4" xfId="498"/>
    <cellStyle name="Note 2 2 3" xfId="171"/>
    <cellStyle name="Note 2 2 3 2" xfId="360"/>
    <cellStyle name="Note 2 2 3 3" xfId="544"/>
    <cellStyle name="Note 2 2 4" xfId="268"/>
    <cellStyle name="Note 2 2 5" xfId="452"/>
    <cellStyle name="Note 2 3" xfId="102"/>
    <cellStyle name="Note 2 3 2" xfId="194"/>
    <cellStyle name="Note 2 3 2 2" xfId="383"/>
    <cellStyle name="Note 2 3 2 3" xfId="567"/>
    <cellStyle name="Note 2 3 3" xfId="291"/>
    <cellStyle name="Note 2 3 4" xfId="475"/>
    <cellStyle name="Note 2 4" xfId="148"/>
    <cellStyle name="Note 2 4 2" xfId="337"/>
    <cellStyle name="Note 2 4 3" xfId="521"/>
    <cellStyle name="Note 2 5" xfId="244"/>
    <cellStyle name="Note 2 6" xfId="429"/>
    <cellStyle name="Note 3" xfId="220"/>
    <cellStyle name="Output" xfId="50" builtinId="21" customBuiltin="1"/>
    <cellStyle name="Percent" xfId="51" builtinId="5"/>
    <cellStyle name="Percent 2" xfId="52"/>
    <cellStyle name="Percent 3" xfId="53"/>
    <cellStyle name="Percent 4" xfId="245"/>
    <cellStyle name="Title" xfId="54" builtinId="15" customBuiltin="1"/>
    <cellStyle name="Total" xfId="55" builtinId="25" customBuiltin="1"/>
    <cellStyle name="Warning Text" xfId="56" builtinId="11" customBuiltin="1"/>
  </cellStyles>
  <dxfs count="50">
    <dxf>
      <font>
        <color theme="8"/>
      </font>
    </dxf>
    <dxf>
      <font>
        <color rgb="FF7FC9D9"/>
      </font>
    </dxf>
    <dxf>
      <font>
        <color rgb="FF7FC9D9"/>
      </font>
    </dxf>
    <dxf>
      <fill>
        <patternFill>
          <bgColor theme="8" tint="0.79998168889431442"/>
        </patternFill>
      </fill>
    </dxf>
    <dxf>
      <fill>
        <patternFill>
          <bgColor theme="6" tint="0.59996337778862885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D8E4BC"/>
      </font>
      <fill>
        <patternFill>
          <bgColor rgb="FFD8E4BC"/>
        </patternFill>
      </fill>
      <border>
        <left/>
        <right/>
        <top/>
        <bottom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  <bottom/>
      </border>
    </dxf>
    <dxf>
      <font>
        <color theme="8" tint="0.79998168889431442"/>
      </font>
      <fill>
        <patternFill>
          <bgColor theme="8" tint="0.79998168889431442"/>
        </patternFill>
      </fill>
      <border>
        <left/>
        <right/>
      </border>
    </dxf>
    <dxf>
      <fill>
        <patternFill>
          <bgColor rgb="FFBED600"/>
        </patternFill>
      </fill>
    </dxf>
    <dxf>
      <fill>
        <patternFill>
          <bgColor rgb="FFF2AF00"/>
        </patternFill>
      </fill>
    </dxf>
    <dxf>
      <fill>
        <patternFill>
          <bgColor rgb="FFFFFF00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9999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ont>
        <color theme="4" tint="0.59996337778862885"/>
      </font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ill>
        <patternFill>
          <bgColor rgb="FFFF9999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  <dxf>
      <font>
        <color theme="4" tint="0.59996337778862885"/>
      </font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FFCC99"/>
      <color rgb="FFDCE6F1"/>
      <color rgb="FFFCEFCC"/>
      <color rgb="FF0094B3"/>
      <color rgb="FFAEB4B8"/>
      <color rgb="FFDFE1E3"/>
      <color rgb="FFBED600"/>
      <color rgb="FFF2AF00"/>
      <color rgb="FF9DBCB0"/>
      <color rgb="FF7FC9D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6482189177937426"/>
          <c:y val="5.5824949002523945E-2"/>
          <c:w val="0.8889560367454068"/>
          <c:h val="0.89719889180519097"/>
        </c:manualLayout>
      </c:layout>
      <c:scatterChart>
        <c:scatterStyle val="smoothMarker"/>
        <c:varyColors val="0"/>
        <c:ser>
          <c:idx val="0"/>
          <c:order val="0"/>
          <c:spPr>
            <a:ln>
              <a:solidFill>
                <a:srgbClr val="00B050"/>
              </a:solidFill>
            </a:ln>
          </c:spPr>
          <c:marker>
            <c:symbol val="none"/>
          </c:marker>
          <c:xVal>
            <c:numRef>
              <c:f>Main!$Q$31:$Q$32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Main!$R$31:$R$32</c:f>
              <c:numCache>
                <c:formatCode>0.00</c:formatCode>
                <c:ptCount val="2"/>
                <c:pt idx="0" formatCode="General">
                  <c:v>0</c:v>
                </c:pt>
                <c:pt idx="1">
                  <c:v>0</c:v>
                </c:pt>
              </c:numCache>
            </c:numRef>
          </c:yVal>
          <c:smooth val="1"/>
        </c:ser>
        <c:ser>
          <c:idx val="1"/>
          <c:order val="1"/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Main!$Q$33:$Q$34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xVal>
          <c:yVal>
            <c:numRef>
              <c:f>Main!$R$33:$R$34</c:f>
              <c:numCache>
                <c:formatCode>0.00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663360"/>
        <c:axId val="177665152"/>
      </c:scatterChart>
      <c:valAx>
        <c:axId val="177663360"/>
        <c:scaling>
          <c:orientation val="minMax"/>
          <c:max val="0.1"/>
          <c:min val="-0.1"/>
        </c:scaling>
        <c:delete val="0"/>
        <c:axPos val="b"/>
        <c:numFmt formatCode="General" sourceLinked="1"/>
        <c:majorTickMark val="out"/>
        <c:minorTickMark val="none"/>
        <c:tickLblPos val="none"/>
        <c:crossAx val="177665152"/>
        <c:crosses val="autoZero"/>
        <c:crossBetween val="midCat"/>
      </c:valAx>
      <c:valAx>
        <c:axId val="17766515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low"/>
        <c:crossAx val="177663360"/>
        <c:crosses val="autoZero"/>
        <c:crossBetween val="midCat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A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1"/>
          <c:tx>
            <c:v>Measured</c:v>
          </c:tx>
          <c:spPr>
            <a:ln w="28575">
              <a:noFill/>
            </a:ln>
          </c:spPr>
          <c:xVal>
            <c:numRef>
              <c:f>'Soil Model'!$B$21:$B$28</c:f>
              <c:numCache>
                <c:formatCode>General</c:formatCode>
                <c:ptCount val="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xVal>
          <c:yVal>
            <c:numRef>
              <c:f>'Soil Model'!$C$21:$C$28</c:f>
              <c:numCache>
                <c:formatCode>0.00</c:formatCode>
                <c:ptCount val="8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59584"/>
        <c:axId val="190080128"/>
      </c:scatterChart>
      <c:scatterChart>
        <c:scatterStyle val="smoothMarker"/>
        <c:varyColors val="0"/>
        <c:ser>
          <c:idx val="1"/>
          <c:order val="0"/>
          <c:tx>
            <c:strRef>
              <c:f>'Soil Model'!$N$74</c:f>
              <c:strCache>
                <c:ptCount val="1"/>
                <c:pt idx="0">
                  <c:v>pa(s)</c:v>
                </c:pt>
              </c:strCache>
            </c:strRef>
          </c:tx>
          <c:marker>
            <c:symbol val="none"/>
          </c:marker>
          <c:xVal>
            <c:numRef>
              <c:f>'Soil Model'!$M$75:$M$144</c:f>
              <c:numCache>
                <c:formatCode>General</c:formatCode>
                <c:ptCount val="7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  <c:pt idx="10">
                  <c:v>5.5</c:v>
                </c:pt>
                <c:pt idx="11">
                  <c:v>6</c:v>
                </c:pt>
                <c:pt idx="12">
                  <c:v>6.5</c:v>
                </c:pt>
                <c:pt idx="13">
                  <c:v>7</c:v>
                </c:pt>
                <c:pt idx="14">
                  <c:v>7.5</c:v>
                </c:pt>
                <c:pt idx="15">
                  <c:v>8</c:v>
                </c:pt>
                <c:pt idx="16">
                  <c:v>8.5</c:v>
                </c:pt>
                <c:pt idx="17">
                  <c:v>9</c:v>
                </c:pt>
                <c:pt idx="18">
                  <c:v>9.5</c:v>
                </c:pt>
                <c:pt idx="19">
                  <c:v>10</c:v>
                </c:pt>
                <c:pt idx="20">
                  <c:v>10.5</c:v>
                </c:pt>
                <c:pt idx="21">
                  <c:v>11</c:v>
                </c:pt>
                <c:pt idx="22">
                  <c:v>11.5</c:v>
                </c:pt>
                <c:pt idx="23">
                  <c:v>12</c:v>
                </c:pt>
                <c:pt idx="24">
                  <c:v>12.5</c:v>
                </c:pt>
                <c:pt idx="25">
                  <c:v>13</c:v>
                </c:pt>
                <c:pt idx="26">
                  <c:v>13.5</c:v>
                </c:pt>
                <c:pt idx="27">
                  <c:v>14</c:v>
                </c:pt>
                <c:pt idx="28">
                  <c:v>14.5</c:v>
                </c:pt>
                <c:pt idx="29">
                  <c:v>15</c:v>
                </c:pt>
                <c:pt idx="30">
                  <c:v>15.5</c:v>
                </c:pt>
                <c:pt idx="31">
                  <c:v>16</c:v>
                </c:pt>
                <c:pt idx="32">
                  <c:v>16.5</c:v>
                </c:pt>
                <c:pt idx="33">
                  <c:v>17</c:v>
                </c:pt>
                <c:pt idx="34">
                  <c:v>17.5</c:v>
                </c:pt>
                <c:pt idx="35">
                  <c:v>18</c:v>
                </c:pt>
                <c:pt idx="36">
                  <c:v>18.5</c:v>
                </c:pt>
                <c:pt idx="37">
                  <c:v>19</c:v>
                </c:pt>
                <c:pt idx="38">
                  <c:v>19.5</c:v>
                </c:pt>
                <c:pt idx="39">
                  <c:v>20</c:v>
                </c:pt>
                <c:pt idx="40">
                  <c:v>21</c:v>
                </c:pt>
                <c:pt idx="41">
                  <c:v>22</c:v>
                </c:pt>
                <c:pt idx="42">
                  <c:v>23</c:v>
                </c:pt>
                <c:pt idx="43">
                  <c:v>24</c:v>
                </c:pt>
                <c:pt idx="44">
                  <c:v>25</c:v>
                </c:pt>
                <c:pt idx="45">
                  <c:v>26</c:v>
                </c:pt>
                <c:pt idx="46">
                  <c:v>27</c:v>
                </c:pt>
                <c:pt idx="47">
                  <c:v>28</c:v>
                </c:pt>
                <c:pt idx="48">
                  <c:v>29</c:v>
                </c:pt>
                <c:pt idx="49">
                  <c:v>30</c:v>
                </c:pt>
                <c:pt idx="50">
                  <c:v>31</c:v>
                </c:pt>
                <c:pt idx="51">
                  <c:v>32</c:v>
                </c:pt>
                <c:pt idx="52">
                  <c:v>33</c:v>
                </c:pt>
                <c:pt idx="53">
                  <c:v>34</c:v>
                </c:pt>
                <c:pt idx="54">
                  <c:v>35</c:v>
                </c:pt>
                <c:pt idx="55">
                  <c:v>36</c:v>
                </c:pt>
                <c:pt idx="56">
                  <c:v>37</c:v>
                </c:pt>
                <c:pt idx="57">
                  <c:v>38</c:v>
                </c:pt>
                <c:pt idx="58">
                  <c:v>39</c:v>
                </c:pt>
                <c:pt idx="59">
                  <c:v>40</c:v>
                </c:pt>
                <c:pt idx="60">
                  <c:v>41</c:v>
                </c:pt>
                <c:pt idx="61">
                  <c:v>42</c:v>
                </c:pt>
                <c:pt idx="62">
                  <c:v>43</c:v>
                </c:pt>
                <c:pt idx="63">
                  <c:v>44</c:v>
                </c:pt>
                <c:pt idx="64">
                  <c:v>45</c:v>
                </c:pt>
                <c:pt idx="65">
                  <c:v>46</c:v>
                </c:pt>
                <c:pt idx="66">
                  <c:v>47</c:v>
                </c:pt>
                <c:pt idx="67">
                  <c:v>48</c:v>
                </c:pt>
                <c:pt idx="68">
                  <c:v>49</c:v>
                </c:pt>
                <c:pt idx="69">
                  <c:v>50</c:v>
                </c:pt>
              </c:numCache>
            </c:numRef>
          </c:xVal>
          <c:yVal>
            <c:numRef>
              <c:f>'Soil Model'!$N$75:$N$144</c:f>
              <c:numCache>
                <c:formatCode>General</c:formatCode>
                <c:ptCount val="7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7859584"/>
        <c:axId val="190080128"/>
      </c:scatterChart>
      <c:valAx>
        <c:axId val="177859584"/>
        <c:scaling>
          <c:logBase val="10"/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 b="1"/>
                </a:pPr>
                <a:r>
                  <a:rPr lang="en-US" b="1"/>
                  <a:t>Distance (m)</a:t>
                </a:r>
              </a:p>
            </c:rich>
          </c:tx>
          <c:layout>
            <c:manualLayout>
              <c:xMode val="edge"/>
              <c:yMode val="edge"/>
              <c:x val="0.41561152467768669"/>
              <c:y val="0.87727584328908181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90080128"/>
        <c:crosses val="autoZero"/>
        <c:crossBetween val="midCat"/>
      </c:valAx>
      <c:valAx>
        <c:axId val="190080128"/>
        <c:scaling>
          <c:logBase val="10"/>
          <c:orientation val="minMax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AU" b="1"/>
                  <a:t>Resistivity</a:t>
                </a:r>
                <a:r>
                  <a:rPr lang="en-AU" b="1" baseline="0"/>
                  <a:t> (ohm.m)</a:t>
                </a:r>
                <a:endParaRPr lang="en-AU" b="1"/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77859584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8981770895659319"/>
          <c:y val="0.44810543657331137"/>
          <c:w val="8.9665753217018085E-2"/>
          <c:h val="9.7199341021416807E-2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CEDDD7"/>
    </a:solidFill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1028700</xdr:colOff>
          <xdr:row>66</xdr:row>
          <xdr:rowOff>142875</xdr:rowOff>
        </xdr:from>
        <xdr:to>
          <xdr:col>6</xdr:col>
          <xdr:colOff>962025</xdr:colOff>
          <xdr:row>69</xdr:row>
          <xdr:rowOff>152400</xdr:rowOff>
        </xdr:to>
        <xdr:sp macro="" textlink="">
          <xdr:nvSpPr>
            <xdr:cNvPr id="43114" name="Button 106" hidden="1">
              <a:extLst>
                <a:ext uri="{63B3BB69-23CF-44E3-9099-C40C66FF867C}">
                  <a14:compatExt spid="_x0000_s43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AU" sz="1100" b="1" i="0" u="none" strike="noStrike" baseline="0">
                  <a:solidFill>
                    <a:srgbClr val="000000"/>
                  </a:solidFill>
                  <a:latin typeface="Calibri"/>
                </a:rPr>
                <a:t>Help Page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6821</xdr:colOff>
      <xdr:row>29</xdr:row>
      <xdr:rowOff>4811</xdr:rowOff>
    </xdr:from>
    <xdr:to>
      <xdr:col>6</xdr:col>
      <xdr:colOff>1130969</xdr:colOff>
      <xdr:row>35</xdr:row>
      <xdr:rowOff>182880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44824</xdr:colOff>
      <xdr:row>0</xdr:row>
      <xdr:rowOff>44808</xdr:rowOff>
    </xdr:from>
    <xdr:to>
      <xdr:col>3</xdr:col>
      <xdr:colOff>381000</xdr:colOff>
      <xdr:row>2</xdr:row>
      <xdr:rowOff>228787</xdr:rowOff>
    </xdr:to>
    <xdr:grpSp>
      <xdr:nvGrpSpPr>
        <xdr:cNvPr id="119" name="Group 118"/>
        <xdr:cNvGrpSpPr>
          <a:grpSpLocks noChangeAspect="1"/>
        </xdr:cNvGrpSpPr>
      </xdr:nvGrpSpPr>
      <xdr:grpSpPr bwMode="auto">
        <a:xfrm>
          <a:off x="44824" y="44808"/>
          <a:ext cx="2117911" cy="598597"/>
          <a:chOff x="179388" y="2276475"/>
          <a:chExt cx="8785225" cy="2306638"/>
        </a:xfrm>
      </xdr:grpSpPr>
      <xdr:sp macro="" textlink="">
        <xdr:nvSpPr>
          <xdr:cNvPr id="120" name="Freeform 119"/>
          <xdr:cNvSpPr>
            <a:spLocks noChangeArrowheads="1"/>
          </xdr:cNvSpPr>
        </xdr:nvSpPr>
        <xdr:spPr bwMode="auto">
          <a:xfrm>
            <a:off x="2486025" y="2376488"/>
            <a:ext cx="495300" cy="495300"/>
          </a:xfrm>
          <a:custGeom>
            <a:avLst/>
            <a:gdLst>
              <a:gd name="T0" fmla="*/ 1523739689 w 161"/>
              <a:gd name="T1" fmla="*/ 757166944 h 162"/>
              <a:gd name="T2" fmla="*/ 757138345 w 161"/>
              <a:gd name="T3" fmla="*/ 1514333889 h 162"/>
              <a:gd name="T4" fmla="*/ 0 w 161"/>
              <a:gd name="T5" fmla="*/ 757166944 h 162"/>
              <a:gd name="T6" fmla="*/ 757138345 w 161"/>
              <a:gd name="T7" fmla="*/ 0 h 162"/>
              <a:gd name="T8" fmla="*/ 1523739689 w 161"/>
              <a:gd name="T9" fmla="*/ 757166944 h 16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61" h="162">
                <a:moveTo>
                  <a:pt x="161" y="81"/>
                </a:moveTo>
                <a:cubicBezTo>
                  <a:pt x="161" y="126"/>
                  <a:pt x="125" y="162"/>
                  <a:pt x="80" y="162"/>
                </a:cubicBezTo>
                <a:cubicBezTo>
                  <a:pt x="36" y="162"/>
                  <a:pt x="0" y="126"/>
                  <a:pt x="0" y="81"/>
                </a:cubicBezTo>
                <a:cubicBezTo>
                  <a:pt x="0" y="36"/>
                  <a:pt x="36" y="0"/>
                  <a:pt x="80" y="0"/>
                </a:cubicBezTo>
                <a:cubicBezTo>
                  <a:pt x="125" y="0"/>
                  <a:pt x="161" y="36"/>
                  <a:pt x="161" y="81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1" name="Freeform 120"/>
          <xdr:cNvSpPr>
            <a:spLocks noChangeArrowheads="1"/>
          </xdr:cNvSpPr>
        </xdr:nvSpPr>
        <xdr:spPr bwMode="auto">
          <a:xfrm>
            <a:off x="2849563" y="2755900"/>
            <a:ext cx="534987" cy="542925"/>
          </a:xfrm>
          <a:custGeom>
            <a:avLst/>
            <a:gdLst>
              <a:gd name="T0" fmla="*/ 1106048727 w 174"/>
              <a:gd name="T1" fmla="*/ 1528555413 h 174"/>
              <a:gd name="T2" fmla="*/ 1484183073 w 174"/>
              <a:gd name="T3" fmla="*/ 545215270 h 174"/>
              <a:gd name="T4" fmla="*/ 529391159 w 174"/>
              <a:gd name="T5" fmla="*/ 165510998 h 174"/>
              <a:gd name="T6" fmla="*/ 160708250 w 174"/>
              <a:gd name="T7" fmla="*/ 1148851142 h 174"/>
              <a:gd name="T8" fmla="*/ 1106048727 w 174"/>
              <a:gd name="T9" fmla="*/ 1528555413 h 17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4" h="174">
                <a:moveTo>
                  <a:pt x="117" y="157"/>
                </a:moveTo>
                <a:cubicBezTo>
                  <a:pt x="156" y="140"/>
                  <a:pt x="174" y="95"/>
                  <a:pt x="157" y="56"/>
                </a:cubicBezTo>
                <a:cubicBezTo>
                  <a:pt x="140" y="18"/>
                  <a:pt x="94" y="0"/>
                  <a:pt x="56" y="17"/>
                </a:cubicBezTo>
                <a:cubicBezTo>
                  <a:pt x="17" y="34"/>
                  <a:pt x="0" y="79"/>
                  <a:pt x="17" y="118"/>
                </a:cubicBezTo>
                <a:cubicBezTo>
                  <a:pt x="34" y="157"/>
                  <a:pt x="79" y="174"/>
                  <a:pt x="117" y="157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2" name="Freeform 121"/>
          <xdr:cNvSpPr>
            <a:spLocks noChangeArrowheads="1"/>
          </xdr:cNvSpPr>
        </xdr:nvSpPr>
        <xdr:spPr bwMode="auto">
          <a:xfrm>
            <a:off x="2973388" y="3290888"/>
            <a:ext cx="465137" cy="463550"/>
          </a:xfrm>
          <a:custGeom>
            <a:avLst/>
            <a:gdLst>
              <a:gd name="T0" fmla="*/ 682162432 w 149"/>
              <a:gd name="T1" fmla="*/ 1403873536 h 150"/>
              <a:gd name="T2" fmla="*/ 1432540795 w 149"/>
              <a:gd name="T3" fmla="*/ 754461619 h 150"/>
              <a:gd name="T4" fmla="*/ 769867291 w 149"/>
              <a:gd name="T5" fmla="*/ 19101350 h 150"/>
              <a:gd name="T6" fmla="*/ 19488928 w 149"/>
              <a:gd name="T7" fmla="*/ 678062398 h 150"/>
              <a:gd name="T8" fmla="*/ 682162432 w 149"/>
              <a:gd name="T9" fmla="*/ 1403873536 h 15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49" h="150">
                <a:moveTo>
                  <a:pt x="70" y="147"/>
                </a:moveTo>
                <a:cubicBezTo>
                  <a:pt x="111" y="150"/>
                  <a:pt x="145" y="119"/>
                  <a:pt x="147" y="79"/>
                </a:cubicBezTo>
                <a:cubicBezTo>
                  <a:pt x="149" y="39"/>
                  <a:pt x="119" y="5"/>
                  <a:pt x="79" y="2"/>
                </a:cubicBezTo>
                <a:cubicBezTo>
                  <a:pt x="39" y="0"/>
                  <a:pt x="4" y="31"/>
                  <a:pt x="2" y="71"/>
                </a:cubicBezTo>
                <a:cubicBezTo>
                  <a:pt x="0" y="111"/>
                  <a:pt x="30" y="145"/>
                  <a:pt x="70" y="147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3" name="Freeform 122"/>
          <xdr:cNvSpPr>
            <a:spLocks noChangeArrowheads="1"/>
          </xdr:cNvSpPr>
        </xdr:nvSpPr>
        <xdr:spPr bwMode="auto">
          <a:xfrm>
            <a:off x="2787650" y="3740150"/>
            <a:ext cx="487363" cy="487363"/>
          </a:xfrm>
          <a:custGeom>
            <a:avLst/>
            <a:gdLst>
              <a:gd name="T0" fmla="*/ 418641732 w 158"/>
              <a:gd name="T1" fmla="*/ 1329796331 h 157"/>
              <a:gd name="T2" fmla="*/ 1322530446 w 158"/>
              <a:gd name="T3" fmla="*/ 1088890007 h 157"/>
              <a:gd name="T4" fmla="*/ 1084666456 w 158"/>
              <a:gd name="T5" fmla="*/ 183087068 h 157"/>
              <a:gd name="T6" fmla="*/ 190293659 w 158"/>
              <a:gd name="T7" fmla="*/ 423993393 h 157"/>
              <a:gd name="T8" fmla="*/ 418641732 w 158"/>
              <a:gd name="T9" fmla="*/ 1329796331 h 157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58" h="157">
                <a:moveTo>
                  <a:pt x="44" y="138"/>
                </a:moveTo>
                <a:cubicBezTo>
                  <a:pt x="77" y="157"/>
                  <a:pt x="120" y="146"/>
                  <a:pt x="139" y="113"/>
                </a:cubicBezTo>
                <a:cubicBezTo>
                  <a:pt x="158" y="80"/>
                  <a:pt x="147" y="38"/>
                  <a:pt x="114" y="19"/>
                </a:cubicBezTo>
                <a:cubicBezTo>
                  <a:pt x="81" y="0"/>
                  <a:pt x="39" y="11"/>
                  <a:pt x="20" y="44"/>
                </a:cubicBezTo>
                <a:cubicBezTo>
                  <a:pt x="0" y="77"/>
                  <a:pt x="11" y="119"/>
                  <a:pt x="44" y="138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4" name="Freeform 123"/>
          <xdr:cNvSpPr>
            <a:spLocks noChangeArrowheads="1"/>
          </xdr:cNvSpPr>
        </xdr:nvSpPr>
        <xdr:spPr bwMode="auto">
          <a:xfrm>
            <a:off x="2432050" y="4064000"/>
            <a:ext cx="463550" cy="465138"/>
          </a:xfrm>
          <a:custGeom>
            <a:avLst/>
            <a:gdLst>
              <a:gd name="T0" fmla="*/ 183895574 w 149"/>
              <a:gd name="T1" fmla="*/ 1057726913 h 150"/>
              <a:gd name="T2" fmla="*/ 1064665462 w 149"/>
              <a:gd name="T3" fmla="*/ 1250042870 h 150"/>
              <a:gd name="T4" fmla="*/ 1258242698 w 149"/>
              <a:gd name="T5" fmla="*/ 375012861 h 150"/>
              <a:gd name="T6" fmla="*/ 377472809 w 149"/>
              <a:gd name="T7" fmla="*/ 192312857 h 150"/>
              <a:gd name="T8" fmla="*/ 183895574 w 149"/>
              <a:gd name="T9" fmla="*/ 1057726913 h 15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49" h="150">
                <a:moveTo>
                  <a:pt x="19" y="110"/>
                </a:moveTo>
                <a:cubicBezTo>
                  <a:pt x="39" y="141"/>
                  <a:pt x="80" y="150"/>
                  <a:pt x="110" y="130"/>
                </a:cubicBezTo>
                <a:cubicBezTo>
                  <a:pt x="140" y="110"/>
                  <a:pt x="149" y="70"/>
                  <a:pt x="130" y="39"/>
                </a:cubicBezTo>
                <a:cubicBezTo>
                  <a:pt x="110" y="9"/>
                  <a:pt x="69" y="0"/>
                  <a:pt x="39" y="20"/>
                </a:cubicBezTo>
                <a:cubicBezTo>
                  <a:pt x="9" y="39"/>
                  <a:pt x="0" y="80"/>
                  <a:pt x="19" y="110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5" name="Freeform 124"/>
          <xdr:cNvSpPr>
            <a:spLocks noChangeArrowheads="1"/>
          </xdr:cNvSpPr>
        </xdr:nvSpPr>
        <xdr:spPr bwMode="auto">
          <a:xfrm>
            <a:off x="2014538" y="4179888"/>
            <a:ext cx="401637" cy="403225"/>
          </a:xfrm>
          <a:custGeom>
            <a:avLst/>
            <a:gdLst>
              <a:gd name="T0" fmla="*/ 28636718 w 130"/>
              <a:gd name="T1" fmla="*/ 682158202 h 131"/>
              <a:gd name="T2" fmla="*/ 677703737 w 130"/>
              <a:gd name="T3" fmla="*/ 1203251102 h 131"/>
              <a:gd name="T4" fmla="*/ 1212226972 w 130"/>
              <a:gd name="T5" fmla="*/ 558989894 h 131"/>
              <a:gd name="T6" fmla="*/ 563159954 w 130"/>
              <a:gd name="T7" fmla="*/ 37896994 h 131"/>
              <a:gd name="T8" fmla="*/ 28636718 w 130"/>
              <a:gd name="T9" fmla="*/ 682158202 h 13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30" h="131">
                <a:moveTo>
                  <a:pt x="3" y="72"/>
                </a:moveTo>
                <a:cubicBezTo>
                  <a:pt x="7" y="106"/>
                  <a:pt x="37" y="131"/>
                  <a:pt x="71" y="127"/>
                </a:cubicBezTo>
                <a:cubicBezTo>
                  <a:pt x="105" y="124"/>
                  <a:pt x="130" y="94"/>
                  <a:pt x="127" y="59"/>
                </a:cubicBezTo>
                <a:cubicBezTo>
                  <a:pt x="123" y="25"/>
                  <a:pt x="93" y="0"/>
                  <a:pt x="59" y="4"/>
                </a:cubicBezTo>
                <a:cubicBezTo>
                  <a:pt x="24" y="7"/>
                  <a:pt x="0" y="38"/>
                  <a:pt x="3" y="72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6" name="Freeform 125"/>
          <xdr:cNvSpPr>
            <a:spLocks noChangeArrowheads="1"/>
          </xdr:cNvSpPr>
        </xdr:nvSpPr>
        <xdr:spPr bwMode="auto">
          <a:xfrm>
            <a:off x="1331913" y="3754438"/>
            <a:ext cx="387350" cy="387350"/>
          </a:xfrm>
          <a:custGeom>
            <a:avLst/>
            <a:gdLst>
              <a:gd name="T0" fmla="*/ 240064036 w 125"/>
              <a:gd name="T1" fmla="*/ 198464613 h 126"/>
              <a:gd name="T2" fmla="*/ 192051229 w 125"/>
              <a:gd name="T3" fmla="*/ 945075590 h 126"/>
              <a:gd name="T4" fmla="*/ 960256144 w 125"/>
              <a:gd name="T5" fmla="*/ 992329216 h 126"/>
              <a:gd name="T6" fmla="*/ 998665770 w 125"/>
              <a:gd name="T7" fmla="*/ 245718239 h 126"/>
              <a:gd name="T8" fmla="*/ 240064036 w 125"/>
              <a:gd name="T9" fmla="*/ 198464613 h 126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25" h="126">
                <a:moveTo>
                  <a:pt x="25" y="21"/>
                </a:moveTo>
                <a:cubicBezTo>
                  <a:pt x="2" y="42"/>
                  <a:pt x="0" y="77"/>
                  <a:pt x="20" y="100"/>
                </a:cubicBezTo>
                <a:cubicBezTo>
                  <a:pt x="41" y="124"/>
                  <a:pt x="76" y="126"/>
                  <a:pt x="100" y="105"/>
                </a:cubicBezTo>
                <a:cubicBezTo>
                  <a:pt x="123" y="84"/>
                  <a:pt x="125" y="49"/>
                  <a:pt x="104" y="26"/>
                </a:cubicBezTo>
                <a:cubicBezTo>
                  <a:pt x="83" y="2"/>
                  <a:pt x="48" y="0"/>
                  <a:pt x="25" y="21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7" name="Freeform 126"/>
          <xdr:cNvSpPr>
            <a:spLocks noChangeArrowheads="1"/>
          </xdr:cNvSpPr>
        </xdr:nvSpPr>
        <xdr:spPr bwMode="auto">
          <a:xfrm>
            <a:off x="1162050" y="3436938"/>
            <a:ext cx="363538" cy="365125"/>
          </a:xfrm>
          <a:custGeom>
            <a:avLst/>
            <a:gdLst>
              <a:gd name="T0" fmla="*/ 429301719 w 119"/>
              <a:gd name="T1" fmla="*/ 67022097 h 118"/>
              <a:gd name="T2" fmla="*/ 74662762 w 119"/>
              <a:gd name="T3" fmla="*/ 689368377 h 118"/>
              <a:gd name="T4" fmla="*/ 681285487 w 119"/>
              <a:gd name="T5" fmla="*/ 1053203063 h 118"/>
              <a:gd name="T6" fmla="*/ 1035924443 w 119"/>
              <a:gd name="T7" fmla="*/ 430856783 h 118"/>
              <a:gd name="T8" fmla="*/ 429301719 w 119"/>
              <a:gd name="T9" fmla="*/ 67022097 h 11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9" h="118">
                <a:moveTo>
                  <a:pt x="46" y="7"/>
                </a:moveTo>
                <a:cubicBezTo>
                  <a:pt x="17" y="15"/>
                  <a:pt x="0" y="44"/>
                  <a:pt x="8" y="72"/>
                </a:cubicBezTo>
                <a:cubicBezTo>
                  <a:pt x="15" y="101"/>
                  <a:pt x="45" y="118"/>
                  <a:pt x="73" y="110"/>
                </a:cubicBezTo>
                <a:cubicBezTo>
                  <a:pt x="101" y="103"/>
                  <a:pt x="119" y="74"/>
                  <a:pt x="111" y="45"/>
                </a:cubicBezTo>
                <a:cubicBezTo>
                  <a:pt x="104" y="17"/>
                  <a:pt x="74" y="0"/>
                  <a:pt x="46" y="7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8" name="Freeform 127"/>
          <xdr:cNvSpPr>
            <a:spLocks noChangeArrowheads="1"/>
          </xdr:cNvSpPr>
        </xdr:nvSpPr>
        <xdr:spPr bwMode="auto">
          <a:xfrm>
            <a:off x="1201738" y="3073400"/>
            <a:ext cx="339725" cy="341313"/>
          </a:xfrm>
          <a:custGeom>
            <a:avLst/>
            <a:gdLst>
              <a:gd name="T0" fmla="*/ 627600620 w 111"/>
              <a:gd name="T1" fmla="*/ 56728681 h 111"/>
              <a:gd name="T2" fmla="*/ 56204594 w 111"/>
              <a:gd name="T3" fmla="*/ 425472791 h 111"/>
              <a:gd name="T4" fmla="*/ 421522210 w 111"/>
              <a:gd name="T5" fmla="*/ 992771896 h 111"/>
              <a:gd name="T6" fmla="*/ 983552844 w 111"/>
              <a:gd name="T7" fmla="*/ 633483078 h 111"/>
              <a:gd name="T8" fmla="*/ 627600620 w 111"/>
              <a:gd name="T9" fmla="*/ 56728681 h 11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1" h="111">
                <a:moveTo>
                  <a:pt x="67" y="6"/>
                </a:moveTo>
                <a:cubicBezTo>
                  <a:pt x="39" y="0"/>
                  <a:pt x="12" y="18"/>
                  <a:pt x="6" y="45"/>
                </a:cubicBezTo>
                <a:cubicBezTo>
                  <a:pt x="0" y="72"/>
                  <a:pt x="18" y="99"/>
                  <a:pt x="45" y="105"/>
                </a:cubicBezTo>
                <a:cubicBezTo>
                  <a:pt x="72" y="111"/>
                  <a:pt x="100" y="94"/>
                  <a:pt x="105" y="67"/>
                </a:cubicBezTo>
                <a:cubicBezTo>
                  <a:pt x="111" y="39"/>
                  <a:pt x="94" y="12"/>
                  <a:pt x="67" y="6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29" name="Freeform 128"/>
          <xdr:cNvSpPr>
            <a:spLocks noChangeArrowheads="1"/>
          </xdr:cNvSpPr>
        </xdr:nvSpPr>
        <xdr:spPr bwMode="auto">
          <a:xfrm>
            <a:off x="1393825" y="2755900"/>
            <a:ext cx="341313" cy="341313"/>
          </a:xfrm>
          <a:custGeom>
            <a:avLst/>
            <a:gdLst>
              <a:gd name="T0" fmla="*/ 635425515 w 110"/>
              <a:gd name="T1" fmla="*/ 56728681 h 111"/>
              <a:gd name="T2" fmla="*/ 48137544 w 110"/>
              <a:gd name="T3" fmla="*/ 425472791 h 111"/>
              <a:gd name="T4" fmla="*/ 423615976 w 110"/>
              <a:gd name="T5" fmla="*/ 992771896 h 111"/>
              <a:gd name="T6" fmla="*/ 1001275817 w 110"/>
              <a:gd name="T7" fmla="*/ 624027785 h 111"/>
              <a:gd name="T8" fmla="*/ 635425515 w 110"/>
              <a:gd name="T9" fmla="*/ 56728681 h 11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0" h="111">
                <a:moveTo>
                  <a:pt x="66" y="6"/>
                </a:moveTo>
                <a:cubicBezTo>
                  <a:pt x="38" y="0"/>
                  <a:pt x="11" y="17"/>
                  <a:pt x="5" y="45"/>
                </a:cubicBezTo>
                <a:cubicBezTo>
                  <a:pt x="0" y="72"/>
                  <a:pt x="17" y="99"/>
                  <a:pt x="44" y="105"/>
                </a:cubicBezTo>
                <a:cubicBezTo>
                  <a:pt x="72" y="111"/>
                  <a:pt x="99" y="93"/>
                  <a:pt x="104" y="66"/>
                </a:cubicBezTo>
                <a:cubicBezTo>
                  <a:pt x="110" y="39"/>
                  <a:pt x="93" y="12"/>
                  <a:pt x="66" y="6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0" name="Freeform 129"/>
          <xdr:cNvSpPr>
            <a:spLocks noChangeArrowheads="1"/>
          </xdr:cNvSpPr>
        </xdr:nvSpPr>
        <xdr:spPr bwMode="auto">
          <a:xfrm>
            <a:off x="1635125" y="4056063"/>
            <a:ext cx="355600" cy="357187"/>
          </a:xfrm>
          <a:custGeom>
            <a:avLst/>
            <a:gdLst>
              <a:gd name="T0" fmla="*/ 0 w 116"/>
              <a:gd name="T1" fmla="*/ 549926337 h 116"/>
              <a:gd name="T2" fmla="*/ 545048966 w 116"/>
              <a:gd name="T3" fmla="*/ 0 h 116"/>
              <a:gd name="T4" fmla="*/ 1090097931 w 116"/>
              <a:gd name="T5" fmla="*/ 549926337 h 116"/>
              <a:gd name="T6" fmla="*/ 545048966 w 116"/>
              <a:gd name="T7" fmla="*/ 1099849595 h 116"/>
              <a:gd name="T8" fmla="*/ 0 w 116"/>
              <a:gd name="T9" fmla="*/ 549926337 h 116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6" h="116">
                <a:moveTo>
                  <a:pt x="0" y="58"/>
                </a:moveTo>
                <a:cubicBezTo>
                  <a:pt x="0" y="26"/>
                  <a:pt x="26" y="0"/>
                  <a:pt x="58" y="0"/>
                </a:cubicBezTo>
                <a:cubicBezTo>
                  <a:pt x="90" y="0"/>
                  <a:pt x="116" y="26"/>
                  <a:pt x="116" y="58"/>
                </a:cubicBezTo>
                <a:cubicBezTo>
                  <a:pt x="116" y="90"/>
                  <a:pt x="90" y="116"/>
                  <a:pt x="58" y="116"/>
                </a:cubicBezTo>
                <a:cubicBezTo>
                  <a:pt x="26" y="116"/>
                  <a:pt x="0" y="90"/>
                  <a:pt x="0" y="58"/>
                </a:cubicBezTo>
              </a:path>
            </a:pathLst>
          </a:custGeom>
          <a:solidFill>
            <a:srgbClr val="BED6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1" name="Freeform 130"/>
          <xdr:cNvSpPr>
            <a:spLocks noChangeArrowheads="1"/>
          </xdr:cNvSpPr>
        </xdr:nvSpPr>
        <xdr:spPr bwMode="auto">
          <a:xfrm>
            <a:off x="636588" y="3987800"/>
            <a:ext cx="503237" cy="495300"/>
          </a:xfrm>
          <a:custGeom>
            <a:avLst/>
            <a:gdLst>
              <a:gd name="T0" fmla="*/ 0 w 162"/>
              <a:gd name="T1" fmla="*/ 757166944 h 162"/>
              <a:gd name="T2" fmla="*/ 781629572 w 162"/>
              <a:gd name="T3" fmla="*/ 0 h 162"/>
              <a:gd name="T4" fmla="*/ 1563256038 w 162"/>
              <a:gd name="T5" fmla="*/ 757166944 h 162"/>
              <a:gd name="T6" fmla="*/ 781629572 w 162"/>
              <a:gd name="T7" fmla="*/ 1514333889 h 162"/>
              <a:gd name="T8" fmla="*/ 0 w 162"/>
              <a:gd name="T9" fmla="*/ 757166944 h 162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62" h="162">
                <a:moveTo>
                  <a:pt x="0" y="81"/>
                </a:moveTo>
                <a:cubicBezTo>
                  <a:pt x="0" y="36"/>
                  <a:pt x="36" y="0"/>
                  <a:pt x="81" y="0"/>
                </a:cubicBezTo>
                <a:cubicBezTo>
                  <a:pt x="126" y="0"/>
                  <a:pt x="162" y="36"/>
                  <a:pt x="162" y="81"/>
                </a:cubicBezTo>
                <a:cubicBezTo>
                  <a:pt x="162" y="126"/>
                  <a:pt x="126" y="162"/>
                  <a:pt x="81" y="162"/>
                </a:cubicBezTo>
                <a:cubicBezTo>
                  <a:pt x="36" y="162"/>
                  <a:pt x="0" y="126"/>
                  <a:pt x="0" y="81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2" name="Freeform 131"/>
          <xdr:cNvSpPr>
            <a:spLocks noChangeArrowheads="1"/>
          </xdr:cNvSpPr>
        </xdr:nvSpPr>
        <xdr:spPr bwMode="auto">
          <a:xfrm>
            <a:off x="233363" y="3560763"/>
            <a:ext cx="541337" cy="542925"/>
          </a:xfrm>
          <a:custGeom>
            <a:avLst/>
            <a:gdLst>
              <a:gd name="T0" fmla="*/ 542030782 w 174"/>
              <a:gd name="T1" fmla="*/ 165510998 h 174"/>
              <a:gd name="T2" fmla="*/ 164544670 w 174"/>
              <a:gd name="T3" fmla="*/ 1148851142 h 174"/>
              <a:gd name="T4" fmla="*/ 1142140181 w 174"/>
              <a:gd name="T5" fmla="*/ 1528555413 h 174"/>
              <a:gd name="T6" fmla="*/ 1519626293 w 174"/>
              <a:gd name="T7" fmla="*/ 545215270 h 174"/>
              <a:gd name="T8" fmla="*/ 542030782 w 174"/>
              <a:gd name="T9" fmla="*/ 165510998 h 174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74" h="174">
                <a:moveTo>
                  <a:pt x="56" y="17"/>
                </a:moveTo>
                <a:cubicBezTo>
                  <a:pt x="18" y="34"/>
                  <a:pt x="0" y="79"/>
                  <a:pt x="17" y="118"/>
                </a:cubicBezTo>
                <a:cubicBezTo>
                  <a:pt x="34" y="156"/>
                  <a:pt x="79" y="174"/>
                  <a:pt x="118" y="157"/>
                </a:cubicBezTo>
                <a:cubicBezTo>
                  <a:pt x="156" y="140"/>
                  <a:pt x="174" y="95"/>
                  <a:pt x="157" y="56"/>
                </a:cubicBezTo>
                <a:cubicBezTo>
                  <a:pt x="140" y="18"/>
                  <a:pt x="95" y="0"/>
                  <a:pt x="56" y="17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3" name="Freeform 132"/>
          <xdr:cNvSpPr>
            <a:spLocks noChangeArrowheads="1"/>
          </xdr:cNvSpPr>
        </xdr:nvSpPr>
        <xdr:spPr bwMode="auto">
          <a:xfrm>
            <a:off x="179388" y="3105150"/>
            <a:ext cx="465137" cy="463550"/>
          </a:xfrm>
          <a:custGeom>
            <a:avLst/>
            <a:gdLst>
              <a:gd name="T0" fmla="*/ 759636941 w 150"/>
              <a:gd name="T1" fmla="*/ 28650480 h 150"/>
              <a:gd name="T2" fmla="*/ 28847797 w 150"/>
              <a:gd name="T3" fmla="*/ 678062398 h 150"/>
              <a:gd name="T4" fmla="*/ 682712584 w 150"/>
              <a:gd name="T5" fmla="*/ 1413422666 h 150"/>
              <a:gd name="T6" fmla="*/ 1413501728 w 150"/>
              <a:gd name="T7" fmla="*/ 754461619 h 150"/>
              <a:gd name="T8" fmla="*/ 759636941 w 150"/>
              <a:gd name="T9" fmla="*/ 28650480 h 150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50" h="150">
                <a:moveTo>
                  <a:pt x="79" y="3"/>
                </a:moveTo>
                <a:cubicBezTo>
                  <a:pt x="39" y="0"/>
                  <a:pt x="5" y="31"/>
                  <a:pt x="3" y="71"/>
                </a:cubicBezTo>
                <a:cubicBezTo>
                  <a:pt x="0" y="111"/>
                  <a:pt x="31" y="145"/>
                  <a:pt x="71" y="148"/>
                </a:cubicBezTo>
                <a:cubicBezTo>
                  <a:pt x="111" y="150"/>
                  <a:pt x="145" y="119"/>
                  <a:pt x="147" y="79"/>
                </a:cubicBezTo>
                <a:cubicBezTo>
                  <a:pt x="150" y="39"/>
                  <a:pt x="119" y="5"/>
                  <a:pt x="79" y="3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4" name="Freeform 133"/>
          <xdr:cNvSpPr>
            <a:spLocks noChangeArrowheads="1"/>
          </xdr:cNvSpPr>
        </xdr:nvSpPr>
        <xdr:spPr bwMode="auto">
          <a:xfrm>
            <a:off x="341313" y="2632075"/>
            <a:ext cx="488950" cy="487363"/>
          </a:xfrm>
          <a:custGeom>
            <a:avLst/>
            <a:gdLst>
              <a:gd name="T0" fmla="*/ 1095992325 w 157"/>
              <a:gd name="T1" fmla="*/ 183087068 h 157"/>
              <a:gd name="T2" fmla="*/ 184281206 w 157"/>
              <a:gd name="T3" fmla="*/ 423993393 h 157"/>
              <a:gd name="T4" fmla="*/ 426759920 w 157"/>
              <a:gd name="T5" fmla="*/ 1329796331 h 157"/>
              <a:gd name="T6" fmla="*/ 1338471039 w 157"/>
              <a:gd name="T7" fmla="*/ 1088890007 h 157"/>
              <a:gd name="T8" fmla="*/ 1095992325 w 157"/>
              <a:gd name="T9" fmla="*/ 183087068 h 157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57" h="157">
                <a:moveTo>
                  <a:pt x="113" y="19"/>
                </a:moveTo>
                <a:cubicBezTo>
                  <a:pt x="80" y="0"/>
                  <a:pt x="38" y="11"/>
                  <a:pt x="19" y="44"/>
                </a:cubicBezTo>
                <a:cubicBezTo>
                  <a:pt x="0" y="77"/>
                  <a:pt x="11" y="119"/>
                  <a:pt x="44" y="138"/>
                </a:cubicBezTo>
                <a:cubicBezTo>
                  <a:pt x="77" y="157"/>
                  <a:pt x="119" y="146"/>
                  <a:pt x="138" y="113"/>
                </a:cubicBezTo>
                <a:cubicBezTo>
                  <a:pt x="157" y="80"/>
                  <a:pt x="146" y="38"/>
                  <a:pt x="113" y="19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5" name="Freeform 134"/>
          <xdr:cNvSpPr>
            <a:spLocks noChangeArrowheads="1"/>
          </xdr:cNvSpPr>
        </xdr:nvSpPr>
        <xdr:spPr bwMode="auto">
          <a:xfrm>
            <a:off x="728663" y="2338388"/>
            <a:ext cx="457200" cy="457200"/>
          </a:xfrm>
          <a:custGeom>
            <a:avLst/>
            <a:gdLst>
              <a:gd name="T0" fmla="*/ 1214590156 w 149"/>
              <a:gd name="T1" fmla="*/ 367202174 h 149"/>
              <a:gd name="T2" fmla="*/ 367202174 w 149"/>
              <a:gd name="T3" fmla="*/ 178894075 h 149"/>
              <a:gd name="T4" fmla="*/ 178894075 w 149"/>
              <a:gd name="T5" fmla="*/ 1035696081 h 149"/>
              <a:gd name="T6" fmla="*/ 1035696081 w 149"/>
              <a:gd name="T7" fmla="*/ 1214590156 h 149"/>
              <a:gd name="T8" fmla="*/ 1214590156 w 149"/>
              <a:gd name="T9" fmla="*/ 367202174 h 149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49" h="149">
                <a:moveTo>
                  <a:pt x="129" y="39"/>
                </a:moveTo>
                <a:cubicBezTo>
                  <a:pt x="110" y="8"/>
                  <a:pt x="69" y="0"/>
                  <a:pt x="39" y="19"/>
                </a:cubicBezTo>
                <a:cubicBezTo>
                  <a:pt x="8" y="39"/>
                  <a:pt x="0" y="79"/>
                  <a:pt x="19" y="110"/>
                </a:cubicBezTo>
                <a:cubicBezTo>
                  <a:pt x="39" y="140"/>
                  <a:pt x="79" y="149"/>
                  <a:pt x="110" y="129"/>
                </a:cubicBezTo>
                <a:cubicBezTo>
                  <a:pt x="140" y="110"/>
                  <a:pt x="149" y="69"/>
                  <a:pt x="129" y="39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6" name="Freeform 135"/>
          <xdr:cNvSpPr>
            <a:spLocks noChangeArrowheads="1"/>
          </xdr:cNvSpPr>
        </xdr:nvSpPr>
        <xdr:spPr bwMode="auto">
          <a:xfrm>
            <a:off x="1201738" y="2276475"/>
            <a:ext cx="409575" cy="403225"/>
          </a:xfrm>
          <a:custGeom>
            <a:avLst/>
            <a:gdLst>
              <a:gd name="T0" fmla="*/ 1251220360 w 131"/>
              <a:gd name="T1" fmla="*/ 558989894 h 131"/>
              <a:gd name="T2" fmla="*/ 576734751 w 131"/>
              <a:gd name="T3" fmla="*/ 37896994 h 131"/>
              <a:gd name="T4" fmla="*/ 39100343 w 131"/>
              <a:gd name="T5" fmla="*/ 682158202 h 131"/>
              <a:gd name="T6" fmla="*/ 703812429 w 131"/>
              <a:gd name="T7" fmla="*/ 1203251102 h 131"/>
              <a:gd name="T8" fmla="*/ 1251220360 w 131"/>
              <a:gd name="T9" fmla="*/ 558989894 h 13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31" h="131">
                <a:moveTo>
                  <a:pt x="128" y="59"/>
                </a:moveTo>
                <a:cubicBezTo>
                  <a:pt x="124" y="25"/>
                  <a:pt x="93" y="0"/>
                  <a:pt x="59" y="4"/>
                </a:cubicBezTo>
                <a:cubicBezTo>
                  <a:pt x="25" y="7"/>
                  <a:pt x="0" y="38"/>
                  <a:pt x="4" y="72"/>
                </a:cubicBezTo>
                <a:cubicBezTo>
                  <a:pt x="7" y="106"/>
                  <a:pt x="38" y="131"/>
                  <a:pt x="72" y="127"/>
                </a:cubicBezTo>
                <a:cubicBezTo>
                  <a:pt x="106" y="124"/>
                  <a:pt x="131" y="94"/>
                  <a:pt x="128" y="59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7" name="Freeform 136"/>
          <xdr:cNvSpPr>
            <a:spLocks noChangeArrowheads="1"/>
          </xdr:cNvSpPr>
        </xdr:nvSpPr>
        <xdr:spPr bwMode="auto">
          <a:xfrm>
            <a:off x="1897063" y="2717800"/>
            <a:ext cx="387350" cy="387350"/>
          </a:xfrm>
          <a:custGeom>
            <a:avLst/>
            <a:gdLst>
              <a:gd name="T0" fmla="*/ 960256144 w 125"/>
              <a:gd name="T1" fmla="*/ 998665770 h 125"/>
              <a:gd name="T2" fmla="*/ 998665770 w 125"/>
              <a:gd name="T3" fmla="*/ 240064036 h 125"/>
              <a:gd name="T4" fmla="*/ 240064036 w 125"/>
              <a:gd name="T5" fmla="*/ 192051229 h 125"/>
              <a:gd name="T6" fmla="*/ 192051229 w 125"/>
              <a:gd name="T7" fmla="*/ 950652963 h 125"/>
              <a:gd name="T8" fmla="*/ 960256144 w 125"/>
              <a:gd name="T9" fmla="*/ 998665770 h 125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25" h="125">
                <a:moveTo>
                  <a:pt x="100" y="104"/>
                </a:moveTo>
                <a:cubicBezTo>
                  <a:pt x="123" y="83"/>
                  <a:pt x="125" y="48"/>
                  <a:pt x="104" y="25"/>
                </a:cubicBezTo>
                <a:cubicBezTo>
                  <a:pt x="84" y="1"/>
                  <a:pt x="48" y="0"/>
                  <a:pt x="25" y="20"/>
                </a:cubicBezTo>
                <a:cubicBezTo>
                  <a:pt x="2" y="41"/>
                  <a:pt x="0" y="76"/>
                  <a:pt x="20" y="99"/>
                </a:cubicBezTo>
                <a:cubicBezTo>
                  <a:pt x="41" y="123"/>
                  <a:pt x="77" y="125"/>
                  <a:pt x="100" y="104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8" name="Freeform 137"/>
          <xdr:cNvSpPr>
            <a:spLocks noChangeArrowheads="1"/>
          </xdr:cNvSpPr>
        </xdr:nvSpPr>
        <xdr:spPr bwMode="auto">
          <a:xfrm>
            <a:off x="2090738" y="3057525"/>
            <a:ext cx="363537" cy="365125"/>
          </a:xfrm>
          <a:custGeom>
            <a:avLst/>
            <a:gdLst>
              <a:gd name="T0" fmla="*/ 692876875 w 118"/>
              <a:gd name="T1" fmla="*/ 1062776764 h 118"/>
              <a:gd name="T2" fmla="*/ 1053551792 w 118"/>
              <a:gd name="T3" fmla="*/ 440430484 h 118"/>
              <a:gd name="T4" fmla="*/ 427115924 w 118"/>
              <a:gd name="T5" fmla="*/ 76595799 h 118"/>
              <a:gd name="T6" fmla="*/ 66441008 w 118"/>
              <a:gd name="T7" fmla="*/ 698942078 h 118"/>
              <a:gd name="T8" fmla="*/ 692876875 w 118"/>
              <a:gd name="T9" fmla="*/ 1062776764 h 118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8" h="118">
                <a:moveTo>
                  <a:pt x="73" y="111"/>
                </a:moveTo>
                <a:cubicBezTo>
                  <a:pt x="101" y="103"/>
                  <a:pt x="118" y="74"/>
                  <a:pt x="111" y="46"/>
                </a:cubicBezTo>
                <a:cubicBezTo>
                  <a:pt x="103" y="17"/>
                  <a:pt x="74" y="0"/>
                  <a:pt x="45" y="8"/>
                </a:cubicBezTo>
                <a:cubicBezTo>
                  <a:pt x="17" y="15"/>
                  <a:pt x="0" y="44"/>
                  <a:pt x="7" y="73"/>
                </a:cubicBezTo>
                <a:cubicBezTo>
                  <a:pt x="15" y="101"/>
                  <a:pt x="44" y="118"/>
                  <a:pt x="73" y="111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39" name="Freeform 138"/>
          <xdr:cNvSpPr>
            <a:spLocks noChangeArrowheads="1"/>
          </xdr:cNvSpPr>
        </xdr:nvSpPr>
        <xdr:spPr bwMode="auto">
          <a:xfrm>
            <a:off x="2076450" y="3444875"/>
            <a:ext cx="339725" cy="341313"/>
          </a:xfrm>
          <a:custGeom>
            <a:avLst/>
            <a:gdLst>
              <a:gd name="T0" fmla="*/ 421522210 w 111"/>
              <a:gd name="T1" fmla="*/ 992771896 h 111"/>
              <a:gd name="T2" fmla="*/ 983552844 w 111"/>
              <a:gd name="T3" fmla="*/ 624027785 h 111"/>
              <a:gd name="T4" fmla="*/ 618235228 w 111"/>
              <a:gd name="T5" fmla="*/ 56728681 h 111"/>
              <a:gd name="T6" fmla="*/ 56204594 w 111"/>
              <a:gd name="T7" fmla="*/ 425472791 h 111"/>
              <a:gd name="T8" fmla="*/ 421522210 w 111"/>
              <a:gd name="T9" fmla="*/ 992771896 h 11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1" h="111">
                <a:moveTo>
                  <a:pt x="45" y="105"/>
                </a:moveTo>
                <a:cubicBezTo>
                  <a:pt x="72" y="111"/>
                  <a:pt x="99" y="93"/>
                  <a:pt x="105" y="66"/>
                </a:cubicBezTo>
                <a:cubicBezTo>
                  <a:pt x="111" y="39"/>
                  <a:pt x="94" y="12"/>
                  <a:pt x="66" y="6"/>
                </a:cubicBezTo>
                <a:cubicBezTo>
                  <a:pt x="39" y="0"/>
                  <a:pt x="12" y="17"/>
                  <a:pt x="6" y="45"/>
                </a:cubicBezTo>
                <a:cubicBezTo>
                  <a:pt x="0" y="72"/>
                  <a:pt x="18" y="99"/>
                  <a:pt x="45" y="105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0" name="Freeform 139"/>
          <xdr:cNvSpPr>
            <a:spLocks noChangeArrowheads="1"/>
          </xdr:cNvSpPr>
        </xdr:nvSpPr>
        <xdr:spPr bwMode="auto">
          <a:xfrm>
            <a:off x="1882775" y="3762375"/>
            <a:ext cx="347663" cy="341313"/>
          </a:xfrm>
          <a:custGeom>
            <a:avLst/>
            <a:gdLst>
              <a:gd name="T0" fmla="*/ 441450575 w 111"/>
              <a:gd name="T1" fmla="*/ 992771896 h 111"/>
              <a:gd name="T2" fmla="*/ 1030053431 w 111"/>
              <a:gd name="T3" fmla="*/ 624027785 h 111"/>
              <a:gd name="T4" fmla="*/ 647464394 w 111"/>
              <a:gd name="T5" fmla="*/ 56728681 h 111"/>
              <a:gd name="T6" fmla="*/ 58861538 w 111"/>
              <a:gd name="T7" fmla="*/ 425472791 h 111"/>
              <a:gd name="T8" fmla="*/ 441450575 w 111"/>
              <a:gd name="T9" fmla="*/ 992771896 h 111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1" h="111">
                <a:moveTo>
                  <a:pt x="45" y="105"/>
                </a:moveTo>
                <a:cubicBezTo>
                  <a:pt x="72" y="111"/>
                  <a:pt x="99" y="94"/>
                  <a:pt x="105" y="66"/>
                </a:cubicBezTo>
                <a:cubicBezTo>
                  <a:pt x="111" y="39"/>
                  <a:pt x="94" y="12"/>
                  <a:pt x="66" y="6"/>
                </a:cubicBezTo>
                <a:cubicBezTo>
                  <a:pt x="39" y="0"/>
                  <a:pt x="12" y="18"/>
                  <a:pt x="6" y="45"/>
                </a:cubicBezTo>
                <a:cubicBezTo>
                  <a:pt x="0" y="72"/>
                  <a:pt x="18" y="99"/>
                  <a:pt x="45" y="105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1" name="Freeform 140"/>
          <xdr:cNvSpPr>
            <a:spLocks noChangeArrowheads="1"/>
          </xdr:cNvSpPr>
        </xdr:nvSpPr>
        <xdr:spPr bwMode="auto">
          <a:xfrm>
            <a:off x="1635125" y="2446338"/>
            <a:ext cx="355600" cy="357187"/>
          </a:xfrm>
          <a:custGeom>
            <a:avLst/>
            <a:gdLst>
              <a:gd name="T0" fmla="*/ 1090097931 w 116"/>
              <a:gd name="T1" fmla="*/ 549926337 h 116"/>
              <a:gd name="T2" fmla="*/ 545048966 w 116"/>
              <a:gd name="T3" fmla="*/ 1099849595 h 116"/>
              <a:gd name="T4" fmla="*/ 0 w 116"/>
              <a:gd name="T5" fmla="*/ 549926337 h 116"/>
              <a:gd name="T6" fmla="*/ 545048966 w 116"/>
              <a:gd name="T7" fmla="*/ 0 h 116"/>
              <a:gd name="T8" fmla="*/ 1090097931 w 116"/>
              <a:gd name="T9" fmla="*/ 549926337 h 116"/>
              <a:gd name="T10" fmla="*/ 0 60000 65536"/>
              <a:gd name="T11" fmla="*/ 0 60000 65536"/>
              <a:gd name="T12" fmla="*/ 0 60000 65536"/>
              <a:gd name="T13" fmla="*/ 0 60000 65536"/>
              <a:gd name="T14" fmla="*/ 0 60000 65536"/>
            </a:gdLst>
            <a:ahLst/>
            <a:cxnLst>
              <a:cxn ang="T10">
                <a:pos x="T0" y="T1"/>
              </a:cxn>
              <a:cxn ang="T11">
                <a:pos x="T2" y="T3"/>
              </a:cxn>
              <a:cxn ang="T12">
                <a:pos x="T4" y="T5"/>
              </a:cxn>
              <a:cxn ang="T13">
                <a:pos x="T6" y="T7"/>
              </a:cxn>
              <a:cxn ang="T14">
                <a:pos x="T8" y="T9"/>
              </a:cxn>
            </a:cxnLst>
            <a:rect l="0" t="0" r="r" b="b"/>
            <a:pathLst>
              <a:path w="116" h="116">
                <a:moveTo>
                  <a:pt x="116" y="58"/>
                </a:moveTo>
                <a:cubicBezTo>
                  <a:pt x="116" y="90"/>
                  <a:pt x="90" y="116"/>
                  <a:pt x="58" y="116"/>
                </a:cubicBezTo>
                <a:cubicBezTo>
                  <a:pt x="26" y="116"/>
                  <a:pt x="0" y="90"/>
                  <a:pt x="0" y="58"/>
                </a:cubicBezTo>
                <a:cubicBezTo>
                  <a:pt x="0" y="26"/>
                  <a:pt x="26" y="0"/>
                  <a:pt x="58" y="0"/>
                </a:cubicBezTo>
                <a:cubicBezTo>
                  <a:pt x="90" y="0"/>
                  <a:pt x="116" y="26"/>
                  <a:pt x="116" y="58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2" name="Freeform 141"/>
          <xdr:cNvSpPr>
            <a:spLocks noChangeArrowheads="1"/>
          </xdr:cNvSpPr>
        </xdr:nvSpPr>
        <xdr:spPr bwMode="auto">
          <a:xfrm>
            <a:off x="3987800" y="3498850"/>
            <a:ext cx="557213" cy="736600"/>
          </a:xfrm>
          <a:custGeom>
            <a:avLst/>
            <a:gdLst>
              <a:gd name="T0" fmla="*/ 0 w 180"/>
              <a:gd name="T1" fmla="*/ 2147483647 h 237"/>
              <a:gd name="T2" fmla="*/ 0 w 180"/>
              <a:gd name="T3" fmla="*/ 289794602 h 237"/>
              <a:gd name="T4" fmla="*/ 287487856 w 180"/>
              <a:gd name="T5" fmla="*/ 0 h 237"/>
              <a:gd name="T6" fmla="*/ 1724924041 w 180"/>
              <a:gd name="T7" fmla="*/ 0 h 237"/>
              <a:gd name="T8" fmla="*/ 1724924041 w 180"/>
              <a:gd name="T9" fmla="*/ 454009781 h 237"/>
              <a:gd name="T10" fmla="*/ 498312490 w 180"/>
              <a:gd name="T11" fmla="*/ 454009781 h 237"/>
              <a:gd name="T12" fmla="*/ 498312490 w 180"/>
              <a:gd name="T13" fmla="*/ 917679279 h 237"/>
              <a:gd name="T14" fmla="*/ 1562013534 w 180"/>
              <a:gd name="T15" fmla="*/ 917679279 h 237"/>
              <a:gd name="T16" fmla="*/ 1562013534 w 180"/>
              <a:gd name="T17" fmla="*/ 1362026236 h 237"/>
              <a:gd name="T18" fmla="*/ 498312490 w 180"/>
              <a:gd name="T19" fmla="*/ 1362026236 h 237"/>
              <a:gd name="T20" fmla="*/ 498312490 w 180"/>
              <a:gd name="T21" fmla="*/ 1845015167 h 237"/>
              <a:gd name="T22" fmla="*/ 1724924041 w 180"/>
              <a:gd name="T23" fmla="*/ 1845015167 h 237"/>
              <a:gd name="T24" fmla="*/ 1724924041 w 180"/>
              <a:gd name="T25" fmla="*/ 2147483647 h 237"/>
              <a:gd name="T26" fmla="*/ 0 w 180"/>
              <a:gd name="T27" fmla="*/ 2147483647 h 237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180" h="237">
                <a:moveTo>
                  <a:pt x="0" y="237"/>
                </a:moveTo>
                <a:lnTo>
                  <a:pt x="0" y="30"/>
                </a:lnTo>
                <a:cubicBezTo>
                  <a:pt x="0" y="28"/>
                  <a:pt x="0" y="0"/>
                  <a:pt x="30" y="0"/>
                </a:cubicBezTo>
                <a:lnTo>
                  <a:pt x="180" y="0"/>
                </a:lnTo>
                <a:lnTo>
                  <a:pt x="180" y="47"/>
                </a:lnTo>
                <a:lnTo>
                  <a:pt x="52" y="47"/>
                </a:lnTo>
                <a:lnTo>
                  <a:pt x="52" y="95"/>
                </a:lnTo>
                <a:lnTo>
                  <a:pt x="163" y="95"/>
                </a:lnTo>
                <a:lnTo>
                  <a:pt x="163" y="141"/>
                </a:lnTo>
                <a:lnTo>
                  <a:pt x="52" y="141"/>
                </a:lnTo>
                <a:lnTo>
                  <a:pt x="52" y="191"/>
                </a:lnTo>
                <a:lnTo>
                  <a:pt x="180" y="191"/>
                </a:lnTo>
                <a:lnTo>
                  <a:pt x="180" y="237"/>
                </a:lnTo>
                <a:lnTo>
                  <a:pt x="0" y="237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3" name="Freeform 142"/>
          <xdr:cNvSpPr>
            <a:spLocks noChangeArrowheads="1"/>
          </xdr:cNvSpPr>
        </xdr:nvSpPr>
        <xdr:spPr bwMode="auto">
          <a:xfrm>
            <a:off x="4598988" y="3662363"/>
            <a:ext cx="511175" cy="573087"/>
          </a:xfrm>
          <a:custGeom>
            <a:avLst/>
            <a:gdLst>
              <a:gd name="T0" fmla="*/ 1090487164 w 166"/>
              <a:gd name="T1" fmla="*/ 1775290322 h 185"/>
              <a:gd name="T2" fmla="*/ 1090487164 w 166"/>
              <a:gd name="T3" fmla="*/ 806076294 h 185"/>
              <a:gd name="T4" fmla="*/ 787049373 w 166"/>
              <a:gd name="T5" fmla="*/ 451019469 h 185"/>
              <a:gd name="T6" fmla="*/ 483608502 w 166"/>
              <a:gd name="T7" fmla="*/ 806076294 h 185"/>
              <a:gd name="T8" fmla="*/ 483608502 w 166"/>
              <a:gd name="T9" fmla="*/ 1775290322 h 185"/>
              <a:gd name="T10" fmla="*/ 0 w 166"/>
              <a:gd name="T11" fmla="*/ 1775290322 h 185"/>
              <a:gd name="T12" fmla="*/ 0 w 166"/>
              <a:gd name="T13" fmla="*/ 316672387 h 185"/>
              <a:gd name="T14" fmla="*/ 284475046 w 166"/>
              <a:gd name="T15" fmla="*/ 38384438 h 185"/>
              <a:gd name="T16" fmla="*/ 483608502 w 166"/>
              <a:gd name="T17" fmla="*/ 38384438 h 185"/>
              <a:gd name="T18" fmla="*/ 483608502 w 166"/>
              <a:gd name="T19" fmla="*/ 278287949 h 185"/>
              <a:gd name="T20" fmla="*/ 986179750 w 166"/>
              <a:gd name="T21" fmla="*/ 0 h 185"/>
              <a:gd name="T22" fmla="*/ 1574095666 w 166"/>
              <a:gd name="T23" fmla="*/ 652538543 h 185"/>
              <a:gd name="T24" fmla="*/ 1574095666 w 166"/>
              <a:gd name="T25" fmla="*/ 1775290322 h 185"/>
              <a:gd name="T26" fmla="*/ 1090487164 w 166"/>
              <a:gd name="T27" fmla="*/ 1775290322 h 185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166" h="185">
                <a:moveTo>
                  <a:pt x="115" y="185"/>
                </a:moveTo>
                <a:lnTo>
                  <a:pt x="115" y="84"/>
                </a:lnTo>
                <a:cubicBezTo>
                  <a:pt x="115" y="59"/>
                  <a:pt x="103" y="47"/>
                  <a:pt x="83" y="47"/>
                </a:cubicBezTo>
                <a:cubicBezTo>
                  <a:pt x="64" y="47"/>
                  <a:pt x="51" y="59"/>
                  <a:pt x="51" y="84"/>
                </a:cubicBezTo>
                <a:lnTo>
                  <a:pt x="51" y="185"/>
                </a:lnTo>
                <a:lnTo>
                  <a:pt x="0" y="185"/>
                </a:lnTo>
                <a:cubicBezTo>
                  <a:pt x="0" y="185"/>
                  <a:pt x="0" y="36"/>
                  <a:pt x="0" y="33"/>
                </a:cubicBezTo>
                <a:cubicBezTo>
                  <a:pt x="0" y="30"/>
                  <a:pt x="0" y="4"/>
                  <a:pt x="30" y="4"/>
                </a:cubicBezTo>
                <a:lnTo>
                  <a:pt x="51" y="4"/>
                </a:lnTo>
                <a:lnTo>
                  <a:pt x="51" y="29"/>
                </a:lnTo>
                <a:cubicBezTo>
                  <a:pt x="63" y="14"/>
                  <a:pt x="78" y="0"/>
                  <a:pt x="104" y="0"/>
                </a:cubicBezTo>
                <a:cubicBezTo>
                  <a:pt x="143" y="0"/>
                  <a:pt x="166" y="26"/>
                  <a:pt x="166" y="68"/>
                </a:cubicBezTo>
                <a:lnTo>
                  <a:pt x="166" y="185"/>
                </a:lnTo>
                <a:lnTo>
                  <a:pt x="115" y="185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4" name="Freeform 143"/>
          <xdr:cNvSpPr>
            <a:spLocks noChangeArrowheads="1"/>
          </xdr:cNvSpPr>
        </xdr:nvSpPr>
        <xdr:spPr bwMode="auto">
          <a:xfrm>
            <a:off x="5753100" y="3662363"/>
            <a:ext cx="339725" cy="573087"/>
          </a:xfrm>
          <a:custGeom>
            <a:avLst/>
            <a:gdLst>
              <a:gd name="T0" fmla="*/ 1020595668 w 110"/>
              <a:gd name="T1" fmla="*/ 522128474 h 186"/>
              <a:gd name="T2" fmla="*/ 495989235 w 110"/>
              <a:gd name="T3" fmla="*/ 1129696208 h 186"/>
              <a:gd name="T4" fmla="*/ 495989235 w 110"/>
              <a:gd name="T5" fmla="*/ 1765745750 h 186"/>
              <a:gd name="T6" fmla="*/ 0 w 110"/>
              <a:gd name="T7" fmla="*/ 1765745750 h 186"/>
              <a:gd name="T8" fmla="*/ 0 w 110"/>
              <a:gd name="T9" fmla="*/ 332264134 h 186"/>
              <a:gd name="T10" fmla="*/ 286147279 w 110"/>
              <a:gd name="T11" fmla="*/ 47467625 h 186"/>
              <a:gd name="T12" fmla="*/ 495989235 w 110"/>
              <a:gd name="T13" fmla="*/ 47467625 h 186"/>
              <a:gd name="T14" fmla="*/ 495989235 w 110"/>
              <a:gd name="T15" fmla="*/ 389224669 h 186"/>
              <a:gd name="T16" fmla="*/ 1049209778 w 110"/>
              <a:gd name="T17" fmla="*/ 9492909 h 186"/>
              <a:gd name="T18" fmla="*/ 1049209778 w 110"/>
              <a:gd name="T19" fmla="*/ 522128474 h 186"/>
              <a:gd name="T20" fmla="*/ 1020595668 w 110"/>
              <a:gd name="T21" fmla="*/ 522128474 h 18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0" t="0" r="r" b="b"/>
            <a:pathLst>
              <a:path w="110" h="186">
                <a:moveTo>
                  <a:pt x="107" y="55"/>
                </a:moveTo>
                <a:cubicBezTo>
                  <a:pt x="73" y="55"/>
                  <a:pt x="52" y="76"/>
                  <a:pt x="52" y="119"/>
                </a:cubicBezTo>
                <a:lnTo>
                  <a:pt x="52" y="186"/>
                </a:lnTo>
                <a:lnTo>
                  <a:pt x="0" y="186"/>
                </a:lnTo>
                <a:lnTo>
                  <a:pt x="0" y="35"/>
                </a:lnTo>
                <a:cubicBezTo>
                  <a:pt x="0" y="33"/>
                  <a:pt x="0" y="5"/>
                  <a:pt x="30" y="5"/>
                </a:cubicBezTo>
                <a:lnTo>
                  <a:pt x="52" y="5"/>
                </a:lnTo>
                <a:lnTo>
                  <a:pt x="52" y="41"/>
                </a:lnTo>
                <a:cubicBezTo>
                  <a:pt x="62" y="16"/>
                  <a:pt x="79" y="0"/>
                  <a:pt x="110" y="1"/>
                </a:cubicBezTo>
                <a:lnTo>
                  <a:pt x="110" y="55"/>
                </a:lnTo>
                <a:lnTo>
                  <a:pt x="107" y="55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5" name="Freeform 144"/>
          <xdr:cNvSpPr>
            <a:spLocks noChangeArrowheads="1"/>
          </xdr:cNvSpPr>
        </xdr:nvSpPr>
        <xdr:spPr bwMode="auto">
          <a:xfrm>
            <a:off x="6116638" y="3662363"/>
            <a:ext cx="587375" cy="742950"/>
          </a:xfrm>
          <a:custGeom>
            <a:avLst/>
            <a:gdLst>
              <a:gd name="T0" fmla="*/ 1324013981 w 191"/>
              <a:gd name="T1" fmla="*/ 814545615 h 240"/>
              <a:gd name="T2" fmla="*/ 898437729 w 191"/>
              <a:gd name="T3" fmla="*/ 412064835 h 240"/>
              <a:gd name="T4" fmla="*/ 482317907 w 191"/>
              <a:gd name="T5" fmla="*/ 814545615 h 240"/>
              <a:gd name="T6" fmla="*/ 482317907 w 191"/>
              <a:gd name="T7" fmla="*/ 824129670 h 240"/>
              <a:gd name="T8" fmla="*/ 898437729 w 191"/>
              <a:gd name="T9" fmla="*/ 1217026395 h 240"/>
              <a:gd name="T10" fmla="*/ 1324013981 w 191"/>
              <a:gd name="T11" fmla="*/ 824129670 h 240"/>
              <a:gd name="T12" fmla="*/ 1324013981 w 191"/>
              <a:gd name="T13" fmla="*/ 814545615 h 240"/>
              <a:gd name="T14" fmla="*/ 841692999 w 191"/>
              <a:gd name="T15" fmla="*/ 2147483647 h 240"/>
              <a:gd name="T16" fmla="*/ 85114020 w 191"/>
              <a:gd name="T17" fmla="*/ 2117819218 h 240"/>
              <a:gd name="T18" fmla="*/ 255345136 w 191"/>
              <a:gd name="T19" fmla="*/ 1744087508 h 240"/>
              <a:gd name="T20" fmla="*/ 832236569 w 191"/>
              <a:gd name="T21" fmla="*/ 1906994773 h 240"/>
              <a:gd name="T22" fmla="*/ 1324013981 w 191"/>
              <a:gd name="T23" fmla="*/ 1427850840 h 240"/>
              <a:gd name="T24" fmla="*/ 1324013981 w 191"/>
              <a:gd name="T25" fmla="*/ 1351187687 h 240"/>
              <a:gd name="T26" fmla="*/ 756578978 w 191"/>
              <a:gd name="T27" fmla="*/ 1629091230 h 240"/>
              <a:gd name="T28" fmla="*/ 0 w 191"/>
              <a:gd name="T29" fmla="*/ 824129670 h 240"/>
              <a:gd name="T30" fmla="*/ 0 w 191"/>
              <a:gd name="T31" fmla="*/ 814545615 h 240"/>
              <a:gd name="T32" fmla="*/ 756578978 w 191"/>
              <a:gd name="T33" fmla="*/ 0 h 240"/>
              <a:gd name="T34" fmla="*/ 1314554476 w 191"/>
              <a:gd name="T35" fmla="*/ 258738529 h 240"/>
              <a:gd name="T36" fmla="*/ 1314554476 w 191"/>
              <a:gd name="T37" fmla="*/ 38333124 h 240"/>
              <a:gd name="T38" fmla="*/ 1522614387 w 191"/>
              <a:gd name="T39" fmla="*/ 38333124 h 240"/>
              <a:gd name="T40" fmla="*/ 1796875458 w 191"/>
              <a:gd name="T41" fmla="*/ 325817627 h 240"/>
              <a:gd name="T42" fmla="*/ 1796875458 w 191"/>
              <a:gd name="T43" fmla="*/ 1379936756 h 240"/>
              <a:gd name="T44" fmla="*/ 841692999 w 191"/>
              <a:gd name="T45" fmla="*/ 2147483647 h 240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  <a:gd name="T66" fmla="*/ 0 60000 65536"/>
              <a:gd name="T67" fmla="*/ 0 60000 65536"/>
              <a:gd name="T68" fmla="*/ 0 60000 65536"/>
            </a:gdLst>
            <a:ahLst/>
            <a:cxnLst>
              <a:cxn ang="T46">
                <a:pos x="T0" y="T1"/>
              </a:cxn>
              <a:cxn ang="T47">
                <a:pos x="T2" y="T3"/>
              </a:cxn>
              <a:cxn ang="T48">
                <a:pos x="T4" y="T5"/>
              </a:cxn>
              <a:cxn ang="T49">
                <a:pos x="T6" y="T7"/>
              </a:cxn>
              <a:cxn ang="T50">
                <a:pos x="T8" y="T9"/>
              </a:cxn>
              <a:cxn ang="T51">
                <a:pos x="T10" y="T11"/>
              </a:cxn>
              <a:cxn ang="T52">
                <a:pos x="T12" y="T13"/>
              </a:cxn>
              <a:cxn ang="T53">
                <a:pos x="T14" y="T15"/>
              </a:cxn>
              <a:cxn ang="T54">
                <a:pos x="T16" y="T17"/>
              </a:cxn>
              <a:cxn ang="T55">
                <a:pos x="T18" y="T19"/>
              </a:cxn>
              <a:cxn ang="T56">
                <a:pos x="T20" y="T21"/>
              </a:cxn>
              <a:cxn ang="T57">
                <a:pos x="T22" y="T23"/>
              </a:cxn>
              <a:cxn ang="T58">
                <a:pos x="T24" y="T25"/>
              </a:cxn>
              <a:cxn ang="T59">
                <a:pos x="T26" y="T27"/>
              </a:cxn>
              <a:cxn ang="T60">
                <a:pos x="T28" y="T29"/>
              </a:cxn>
              <a:cxn ang="T61">
                <a:pos x="T30" y="T31"/>
              </a:cxn>
              <a:cxn ang="T62">
                <a:pos x="T32" y="T33"/>
              </a:cxn>
              <a:cxn ang="T63">
                <a:pos x="T34" y="T35"/>
              </a:cxn>
              <a:cxn ang="T64">
                <a:pos x="T36" y="T37"/>
              </a:cxn>
              <a:cxn ang="T65">
                <a:pos x="T38" y="T39"/>
              </a:cxn>
              <a:cxn ang="T66">
                <a:pos x="T40" y="T41"/>
              </a:cxn>
              <a:cxn ang="T67">
                <a:pos x="T42" y="T43"/>
              </a:cxn>
              <a:cxn ang="T68">
                <a:pos x="T44" y="T45"/>
              </a:cxn>
            </a:cxnLst>
            <a:rect l="0" t="0" r="r" b="b"/>
            <a:pathLst>
              <a:path w="191" h="240">
                <a:moveTo>
                  <a:pt x="140" y="85"/>
                </a:moveTo>
                <a:cubicBezTo>
                  <a:pt x="140" y="60"/>
                  <a:pt x="120" y="43"/>
                  <a:pt x="95" y="43"/>
                </a:cubicBezTo>
                <a:cubicBezTo>
                  <a:pt x="70" y="43"/>
                  <a:pt x="51" y="60"/>
                  <a:pt x="51" y="85"/>
                </a:cubicBezTo>
                <a:lnTo>
                  <a:pt x="51" y="86"/>
                </a:lnTo>
                <a:cubicBezTo>
                  <a:pt x="51" y="111"/>
                  <a:pt x="70" y="127"/>
                  <a:pt x="95" y="127"/>
                </a:cubicBezTo>
                <a:cubicBezTo>
                  <a:pt x="120" y="127"/>
                  <a:pt x="140" y="110"/>
                  <a:pt x="140" y="86"/>
                </a:cubicBezTo>
                <a:lnTo>
                  <a:pt x="140" y="85"/>
                </a:lnTo>
                <a:moveTo>
                  <a:pt x="89" y="240"/>
                </a:moveTo>
                <a:cubicBezTo>
                  <a:pt x="60" y="240"/>
                  <a:pt x="32" y="233"/>
                  <a:pt x="9" y="221"/>
                </a:cubicBezTo>
                <a:lnTo>
                  <a:pt x="27" y="182"/>
                </a:lnTo>
                <a:cubicBezTo>
                  <a:pt x="45" y="193"/>
                  <a:pt x="64" y="199"/>
                  <a:pt x="88" y="199"/>
                </a:cubicBezTo>
                <a:cubicBezTo>
                  <a:pt x="123" y="199"/>
                  <a:pt x="140" y="182"/>
                  <a:pt x="140" y="149"/>
                </a:cubicBezTo>
                <a:lnTo>
                  <a:pt x="140" y="141"/>
                </a:lnTo>
                <a:cubicBezTo>
                  <a:pt x="124" y="159"/>
                  <a:pt x="108" y="170"/>
                  <a:pt x="80" y="170"/>
                </a:cubicBezTo>
                <a:cubicBezTo>
                  <a:pt x="38" y="170"/>
                  <a:pt x="0" y="139"/>
                  <a:pt x="0" y="86"/>
                </a:cubicBezTo>
                <a:lnTo>
                  <a:pt x="0" y="85"/>
                </a:lnTo>
                <a:cubicBezTo>
                  <a:pt x="0" y="31"/>
                  <a:pt x="39" y="0"/>
                  <a:pt x="80" y="0"/>
                </a:cubicBezTo>
                <a:cubicBezTo>
                  <a:pt x="108" y="0"/>
                  <a:pt x="125" y="12"/>
                  <a:pt x="139" y="27"/>
                </a:cubicBezTo>
                <a:lnTo>
                  <a:pt x="139" y="4"/>
                </a:lnTo>
                <a:lnTo>
                  <a:pt x="161" y="4"/>
                </a:lnTo>
                <a:cubicBezTo>
                  <a:pt x="191" y="4"/>
                  <a:pt x="190" y="34"/>
                  <a:pt x="190" y="34"/>
                </a:cubicBezTo>
                <a:lnTo>
                  <a:pt x="190" y="144"/>
                </a:lnTo>
                <a:cubicBezTo>
                  <a:pt x="190" y="212"/>
                  <a:pt x="156" y="240"/>
                  <a:pt x="89" y="240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6" name="Freeform 145"/>
          <xdr:cNvSpPr>
            <a:spLocks noChangeArrowheads="1"/>
          </xdr:cNvSpPr>
        </xdr:nvSpPr>
        <xdr:spPr bwMode="auto">
          <a:xfrm>
            <a:off x="6727825" y="3678238"/>
            <a:ext cx="581025" cy="727075"/>
          </a:xfrm>
          <a:custGeom>
            <a:avLst/>
            <a:gdLst>
              <a:gd name="T0" fmla="*/ 1136633247 w 188"/>
              <a:gd name="T1" fmla="*/ 1755926176 h 236"/>
              <a:gd name="T2" fmla="*/ 563541711 w 188"/>
              <a:gd name="T3" fmla="*/ 2147483647 h 236"/>
              <a:gd name="T4" fmla="*/ 124169369 w 188"/>
              <a:gd name="T5" fmla="*/ 2116601588 h 236"/>
              <a:gd name="T6" fmla="*/ 296097139 w 188"/>
              <a:gd name="T7" fmla="*/ 1765418201 h 236"/>
              <a:gd name="T8" fmla="*/ 506233484 w 188"/>
              <a:gd name="T9" fmla="*/ 1831856220 h 236"/>
              <a:gd name="T10" fmla="*/ 678161254 w 188"/>
              <a:gd name="T11" fmla="*/ 1727450099 h 236"/>
              <a:gd name="T12" fmla="*/ 0 w 188"/>
              <a:gd name="T13" fmla="*/ 0 h 236"/>
              <a:gd name="T14" fmla="*/ 515783310 w 188"/>
              <a:gd name="T15" fmla="*/ 0 h 236"/>
              <a:gd name="T16" fmla="*/ 907397250 w 188"/>
              <a:gd name="T17" fmla="*/ 1167454469 h 236"/>
              <a:gd name="T18" fmla="*/ 1193944564 w 188"/>
              <a:gd name="T19" fmla="*/ 275253342 h 236"/>
              <a:gd name="T20" fmla="*/ 1470938961 w 188"/>
              <a:gd name="T21" fmla="*/ 0 h 236"/>
              <a:gd name="T22" fmla="*/ 1795691759 w 188"/>
              <a:gd name="T23" fmla="*/ 0 h 236"/>
              <a:gd name="T24" fmla="*/ 1136633247 w 188"/>
              <a:gd name="T25" fmla="*/ 1755926176 h 2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</a:gdLst>
            <a:ahLst/>
            <a:cxnLst>
              <a:cxn ang="T26">
                <a:pos x="T0" y="T1"/>
              </a:cxn>
              <a:cxn ang="T27">
                <a:pos x="T2" y="T3"/>
              </a:cxn>
              <a:cxn ang="T28">
                <a:pos x="T4" y="T5"/>
              </a:cxn>
              <a:cxn ang="T29">
                <a:pos x="T6" y="T7"/>
              </a:cxn>
              <a:cxn ang="T30">
                <a:pos x="T8" y="T9"/>
              </a:cxn>
              <a:cxn ang="T31">
                <a:pos x="T10" y="T11"/>
              </a:cxn>
              <a:cxn ang="T32">
                <a:pos x="T12" y="T13"/>
              </a:cxn>
              <a:cxn ang="T33">
                <a:pos x="T14" y="T15"/>
              </a:cxn>
              <a:cxn ang="T34">
                <a:pos x="T16" y="T17"/>
              </a:cxn>
              <a:cxn ang="T35">
                <a:pos x="T18" y="T19"/>
              </a:cxn>
              <a:cxn ang="T36">
                <a:pos x="T20" y="T21"/>
              </a:cxn>
              <a:cxn ang="T37">
                <a:pos x="T22" y="T23"/>
              </a:cxn>
              <a:cxn ang="T38">
                <a:pos x="T24" y="T25"/>
              </a:cxn>
            </a:cxnLst>
            <a:rect l="0" t="0" r="r" b="b"/>
            <a:pathLst>
              <a:path w="188" h="236">
                <a:moveTo>
                  <a:pt x="119" y="185"/>
                </a:moveTo>
                <a:cubicBezTo>
                  <a:pt x="105" y="222"/>
                  <a:pt x="90" y="236"/>
                  <a:pt x="59" y="236"/>
                </a:cubicBezTo>
                <a:cubicBezTo>
                  <a:pt x="40" y="236"/>
                  <a:pt x="27" y="231"/>
                  <a:pt x="13" y="223"/>
                </a:cubicBezTo>
                <a:lnTo>
                  <a:pt x="31" y="186"/>
                </a:lnTo>
                <a:cubicBezTo>
                  <a:pt x="37" y="190"/>
                  <a:pt x="46" y="193"/>
                  <a:pt x="53" y="193"/>
                </a:cubicBezTo>
                <a:cubicBezTo>
                  <a:pt x="61" y="193"/>
                  <a:pt x="66" y="191"/>
                  <a:pt x="71" y="182"/>
                </a:cubicBezTo>
                <a:lnTo>
                  <a:pt x="0" y="0"/>
                </a:lnTo>
                <a:lnTo>
                  <a:pt x="54" y="0"/>
                </a:lnTo>
                <a:lnTo>
                  <a:pt x="95" y="123"/>
                </a:lnTo>
                <a:lnTo>
                  <a:pt x="125" y="29"/>
                </a:lnTo>
                <a:cubicBezTo>
                  <a:pt x="125" y="29"/>
                  <a:pt x="134" y="0"/>
                  <a:pt x="154" y="0"/>
                </a:cubicBezTo>
                <a:lnTo>
                  <a:pt x="188" y="0"/>
                </a:lnTo>
                <a:lnTo>
                  <a:pt x="119" y="185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7" name="Freeform 146"/>
          <xdr:cNvSpPr>
            <a:spLocks noChangeArrowheads="1"/>
          </xdr:cNvSpPr>
        </xdr:nvSpPr>
        <xdr:spPr bwMode="auto">
          <a:xfrm>
            <a:off x="3987800" y="2624138"/>
            <a:ext cx="557213" cy="736600"/>
          </a:xfrm>
          <a:custGeom>
            <a:avLst/>
            <a:gdLst>
              <a:gd name="T0" fmla="*/ 0 w 180"/>
              <a:gd name="T1" fmla="*/ 2147483647 h 237"/>
              <a:gd name="T2" fmla="*/ 0 w 180"/>
              <a:gd name="T3" fmla="*/ 289794602 h 237"/>
              <a:gd name="T4" fmla="*/ 287487856 w 180"/>
              <a:gd name="T5" fmla="*/ 0 h 237"/>
              <a:gd name="T6" fmla="*/ 1724924041 w 180"/>
              <a:gd name="T7" fmla="*/ 0 h 237"/>
              <a:gd name="T8" fmla="*/ 1724924041 w 180"/>
              <a:gd name="T9" fmla="*/ 444350065 h 237"/>
              <a:gd name="T10" fmla="*/ 498312490 w 180"/>
              <a:gd name="T11" fmla="*/ 444350065 h 237"/>
              <a:gd name="T12" fmla="*/ 498312490 w 180"/>
              <a:gd name="T13" fmla="*/ 908019563 h 237"/>
              <a:gd name="T14" fmla="*/ 1562013534 w 180"/>
              <a:gd name="T15" fmla="*/ 908019563 h 237"/>
              <a:gd name="T16" fmla="*/ 1562013534 w 180"/>
              <a:gd name="T17" fmla="*/ 1362026236 h 237"/>
              <a:gd name="T18" fmla="*/ 498312490 w 180"/>
              <a:gd name="T19" fmla="*/ 1362026236 h 237"/>
              <a:gd name="T20" fmla="*/ 498312490 w 180"/>
              <a:gd name="T21" fmla="*/ 1845015167 h 237"/>
              <a:gd name="T22" fmla="*/ 1724924041 w 180"/>
              <a:gd name="T23" fmla="*/ 1845015167 h 237"/>
              <a:gd name="T24" fmla="*/ 1724924041 w 180"/>
              <a:gd name="T25" fmla="*/ 2147483647 h 237"/>
              <a:gd name="T26" fmla="*/ 0 w 180"/>
              <a:gd name="T27" fmla="*/ 2147483647 h 237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180" h="237">
                <a:moveTo>
                  <a:pt x="0" y="237"/>
                </a:moveTo>
                <a:lnTo>
                  <a:pt x="0" y="30"/>
                </a:lnTo>
                <a:cubicBezTo>
                  <a:pt x="0" y="28"/>
                  <a:pt x="0" y="0"/>
                  <a:pt x="30" y="0"/>
                </a:cubicBezTo>
                <a:cubicBezTo>
                  <a:pt x="60" y="0"/>
                  <a:pt x="180" y="0"/>
                  <a:pt x="180" y="0"/>
                </a:cubicBezTo>
                <a:lnTo>
                  <a:pt x="180" y="46"/>
                </a:lnTo>
                <a:lnTo>
                  <a:pt x="52" y="46"/>
                </a:lnTo>
                <a:lnTo>
                  <a:pt x="52" y="94"/>
                </a:lnTo>
                <a:lnTo>
                  <a:pt x="163" y="94"/>
                </a:lnTo>
                <a:lnTo>
                  <a:pt x="163" y="141"/>
                </a:lnTo>
                <a:lnTo>
                  <a:pt x="52" y="141"/>
                </a:lnTo>
                <a:lnTo>
                  <a:pt x="52" y="191"/>
                </a:lnTo>
                <a:lnTo>
                  <a:pt x="180" y="191"/>
                </a:lnTo>
                <a:lnTo>
                  <a:pt x="180" y="237"/>
                </a:lnTo>
                <a:lnTo>
                  <a:pt x="0" y="237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8" name="Freeform 147"/>
          <xdr:cNvSpPr>
            <a:spLocks noChangeArrowheads="1"/>
          </xdr:cNvSpPr>
        </xdr:nvSpPr>
        <xdr:spPr bwMode="auto">
          <a:xfrm>
            <a:off x="4598988" y="2787650"/>
            <a:ext cx="511175" cy="573088"/>
          </a:xfrm>
          <a:custGeom>
            <a:avLst/>
            <a:gdLst>
              <a:gd name="T0" fmla="*/ 1090487164 w 166"/>
              <a:gd name="T1" fmla="*/ 1775296518 h 185"/>
              <a:gd name="T2" fmla="*/ 1090487164 w 166"/>
              <a:gd name="T3" fmla="*/ 806080799 h 185"/>
              <a:gd name="T4" fmla="*/ 787049373 w 166"/>
              <a:gd name="T5" fmla="*/ 451020256 h 185"/>
              <a:gd name="T6" fmla="*/ 483608502 w 166"/>
              <a:gd name="T7" fmla="*/ 806080799 h 185"/>
              <a:gd name="T8" fmla="*/ 483608502 w 166"/>
              <a:gd name="T9" fmla="*/ 1775296518 h 185"/>
              <a:gd name="T10" fmla="*/ 0 w 166"/>
              <a:gd name="T11" fmla="*/ 1775296518 h 185"/>
              <a:gd name="T12" fmla="*/ 0 w 166"/>
              <a:gd name="T13" fmla="*/ 316676038 h 185"/>
              <a:gd name="T14" fmla="*/ 284475046 w 166"/>
              <a:gd name="T15" fmla="*/ 38384505 h 185"/>
              <a:gd name="T16" fmla="*/ 483608502 w 166"/>
              <a:gd name="T17" fmla="*/ 38384505 h 185"/>
              <a:gd name="T18" fmla="*/ 483608502 w 166"/>
              <a:gd name="T19" fmla="*/ 278288435 h 185"/>
              <a:gd name="T20" fmla="*/ 986179750 w 166"/>
              <a:gd name="T21" fmla="*/ 0 h 185"/>
              <a:gd name="T22" fmla="*/ 1574095666 w 166"/>
              <a:gd name="T23" fmla="*/ 642945878 h 185"/>
              <a:gd name="T24" fmla="*/ 1574095666 w 166"/>
              <a:gd name="T25" fmla="*/ 1775296518 h 185"/>
              <a:gd name="T26" fmla="*/ 1090487164 w 166"/>
              <a:gd name="T27" fmla="*/ 1775296518 h 185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166" h="185">
                <a:moveTo>
                  <a:pt x="115" y="185"/>
                </a:moveTo>
                <a:lnTo>
                  <a:pt x="115" y="84"/>
                </a:lnTo>
                <a:cubicBezTo>
                  <a:pt x="115" y="59"/>
                  <a:pt x="103" y="47"/>
                  <a:pt x="83" y="47"/>
                </a:cubicBezTo>
                <a:cubicBezTo>
                  <a:pt x="64" y="47"/>
                  <a:pt x="51" y="59"/>
                  <a:pt x="51" y="84"/>
                </a:cubicBezTo>
                <a:lnTo>
                  <a:pt x="51" y="185"/>
                </a:lnTo>
                <a:lnTo>
                  <a:pt x="0" y="185"/>
                </a:lnTo>
                <a:cubicBezTo>
                  <a:pt x="0" y="185"/>
                  <a:pt x="0" y="36"/>
                  <a:pt x="0" y="33"/>
                </a:cubicBezTo>
                <a:cubicBezTo>
                  <a:pt x="0" y="30"/>
                  <a:pt x="0" y="4"/>
                  <a:pt x="30" y="4"/>
                </a:cubicBezTo>
                <a:lnTo>
                  <a:pt x="51" y="4"/>
                </a:lnTo>
                <a:lnTo>
                  <a:pt x="51" y="29"/>
                </a:lnTo>
                <a:cubicBezTo>
                  <a:pt x="63" y="14"/>
                  <a:pt x="78" y="0"/>
                  <a:pt x="104" y="0"/>
                </a:cubicBezTo>
                <a:cubicBezTo>
                  <a:pt x="143" y="0"/>
                  <a:pt x="166" y="26"/>
                  <a:pt x="166" y="67"/>
                </a:cubicBezTo>
                <a:lnTo>
                  <a:pt x="166" y="185"/>
                </a:lnTo>
                <a:lnTo>
                  <a:pt x="115" y="185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49" name="Freeform 148"/>
          <xdr:cNvSpPr>
            <a:spLocks noChangeArrowheads="1"/>
          </xdr:cNvSpPr>
        </xdr:nvSpPr>
        <xdr:spPr bwMode="auto">
          <a:xfrm>
            <a:off x="7416800" y="2779713"/>
            <a:ext cx="611188" cy="587375"/>
          </a:xfrm>
          <a:custGeom>
            <a:avLst/>
            <a:gdLst>
              <a:gd name="T0" fmla="*/ 1409954586 w 196"/>
              <a:gd name="T1" fmla="*/ 917551229 h 189"/>
              <a:gd name="T2" fmla="*/ 943212763 w 196"/>
              <a:gd name="T3" fmla="*/ 434629530 h 189"/>
              <a:gd name="T4" fmla="*/ 486190699 w 196"/>
              <a:gd name="T5" fmla="*/ 907895282 h 189"/>
              <a:gd name="T6" fmla="*/ 486190699 w 196"/>
              <a:gd name="T7" fmla="*/ 917551229 h 189"/>
              <a:gd name="T8" fmla="*/ 952935641 w 196"/>
              <a:gd name="T9" fmla="*/ 1400476037 h 189"/>
              <a:gd name="T10" fmla="*/ 1409954586 w 196"/>
              <a:gd name="T11" fmla="*/ 927210285 h 189"/>
              <a:gd name="T12" fmla="*/ 1409954586 w 196"/>
              <a:gd name="T13" fmla="*/ 917551229 h 189"/>
              <a:gd name="T14" fmla="*/ 943212763 w 196"/>
              <a:gd name="T15" fmla="*/ 1825446511 h 189"/>
              <a:gd name="T16" fmla="*/ 0 w 196"/>
              <a:gd name="T17" fmla="*/ 927210285 h 189"/>
              <a:gd name="T18" fmla="*/ 0 w 196"/>
              <a:gd name="T19" fmla="*/ 917551229 h 189"/>
              <a:gd name="T20" fmla="*/ 952935641 w 196"/>
              <a:gd name="T21" fmla="*/ 0 h 189"/>
              <a:gd name="T22" fmla="*/ 1905871282 w 196"/>
              <a:gd name="T23" fmla="*/ 907895282 h 189"/>
              <a:gd name="T24" fmla="*/ 1905871282 w 196"/>
              <a:gd name="T25" fmla="*/ 917551229 h 189"/>
              <a:gd name="T26" fmla="*/ 943212763 w 196"/>
              <a:gd name="T27" fmla="*/ 1825446511 h 189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</a:gdLst>
            <a:ahLst/>
            <a:cxnLst>
              <a:cxn ang="T28">
                <a:pos x="T0" y="T1"/>
              </a:cxn>
              <a:cxn ang="T29">
                <a:pos x="T2" y="T3"/>
              </a:cxn>
              <a:cxn ang="T30">
                <a:pos x="T4" y="T5"/>
              </a:cxn>
              <a:cxn ang="T31">
                <a:pos x="T6" y="T7"/>
              </a:cxn>
              <a:cxn ang="T32">
                <a:pos x="T8" y="T9"/>
              </a:cxn>
              <a:cxn ang="T33">
                <a:pos x="T10" y="T11"/>
              </a:cxn>
              <a:cxn ang="T34">
                <a:pos x="T12" y="T13"/>
              </a:cxn>
              <a:cxn ang="T35">
                <a:pos x="T14" y="T15"/>
              </a:cxn>
              <a:cxn ang="T36">
                <a:pos x="T16" y="T17"/>
              </a:cxn>
              <a:cxn ang="T37">
                <a:pos x="T18" y="T19"/>
              </a:cxn>
              <a:cxn ang="T38">
                <a:pos x="T20" y="T21"/>
              </a:cxn>
              <a:cxn ang="T39">
                <a:pos x="T22" y="T23"/>
              </a:cxn>
              <a:cxn ang="T40">
                <a:pos x="T24" y="T25"/>
              </a:cxn>
              <a:cxn ang="T41">
                <a:pos x="T26" y="T27"/>
              </a:cxn>
            </a:cxnLst>
            <a:rect l="0" t="0" r="r" b="b"/>
            <a:pathLst>
              <a:path w="196" h="189">
                <a:moveTo>
                  <a:pt x="145" y="95"/>
                </a:moveTo>
                <a:cubicBezTo>
                  <a:pt x="145" y="68"/>
                  <a:pt x="126" y="45"/>
                  <a:pt x="97" y="45"/>
                </a:cubicBezTo>
                <a:cubicBezTo>
                  <a:pt x="68" y="45"/>
                  <a:pt x="50" y="67"/>
                  <a:pt x="50" y="94"/>
                </a:cubicBezTo>
                <a:lnTo>
                  <a:pt x="50" y="95"/>
                </a:lnTo>
                <a:cubicBezTo>
                  <a:pt x="50" y="122"/>
                  <a:pt x="70" y="145"/>
                  <a:pt x="98" y="145"/>
                </a:cubicBezTo>
                <a:cubicBezTo>
                  <a:pt x="127" y="145"/>
                  <a:pt x="145" y="122"/>
                  <a:pt x="145" y="96"/>
                </a:cubicBezTo>
                <a:lnTo>
                  <a:pt x="145" y="95"/>
                </a:lnTo>
                <a:moveTo>
                  <a:pt x="97" y="189"/>
                </a:moveTo>
                <a:cubicBezTo>
                  <a:pt x="41" y="189"/>
                  <a:pt x="0" y="148"/>
                  <a:pt x="0" y="96"/>
                </a:cubicBezTo>
                <a:lnTo>
                  <a:pt x="0" y="95"/>
                </a:lnTo>
                <a:cubicBezTo>
                  <a:pt x="0" y="43"/>
                  <a:pt x="41" y="0"/>
                  <a:pt x="98" y="0"/>
                </a:cubicBezTo>
                <a:cubicBezTo>
                  <a:pt x="154" y="0"/>
                  <a:pt x="196" y="42"/>
                  <a:pt x="196" y="94"/>
                </a:cubicBezTo>
                <a:lnTo>
                  <a:pt x="196" y="95"/>
                </a:lnTo>
                <a:cubicBezTo>
                  <a:pt x="196" y="147"/>
                  <a:pt x="154" y="189"/>
                  <a:pt x="97" y="189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0" name="Freeform 149"/>
          <xdr:cNvSpPr>
            <a:spLocks noChangeArrowheads="1"/>
          </xdr:cNvSpPr>
        </xdr:nvSpPr>
        <xdr:spPr bwMode="auto">
          <a:xfrm>
            <a:off x="5156200" y="2624138"/>
            <a:ext cx="596900" cy="742950"/>
          </a:xfrm>
          <a:custGeom>
            <a:avLst/>
            <a:gdLst>
              <a:gd name="T0" fmla="*/ 1367301017 w 191"/>
              <a:gd name="T1" fmla="*/ 1387516156 h 241"/>
              <a:gd name="T2" fmla="*/ 937579894 w 191"/>
              <a:gd name="T3" fmla="*/ 912339517 h 241"/>
              <a:gd name="T4" fmla="*/ 507855646 w 191"/>
              <a:gd name="T5" fmla="*/ 1387516156 h 241"/>
              <a:gd name="T6" fmla="*/ 507855646 w 191"/>
              <a:gd name="T7" fmla="*/ 1397020367 h 241"/>
              <a:gd name="T8" fmla="*/ 937579894 w 191"/>
              <a:gd name="T9" fmla="*/ 1872197007 h 241"/>
              <a:gd name="T10" fmla="*/ 1367301017 w 191"/>
              <a:gd name="T11" fmla="*/ 1397020367 h 241"/>
              <a:gd name="T12" fmla="*/ 1367301017 w 191"/>
              <a:gd name="T13" fmla="*/ 1387516156 h 241"/>
              <a:gd name="T14" fmla="*/ 1357534983 w 191"/>
              <a:gd name="T15" fmla="*/ 2147483647 h 241"/>
              <a:gd name="T16" fmla="*/ 1357534983 w 191"/>
              <a:gd name="T17" fmla="*/ 2005246712 h 241"/>
              <a:gd name="T18" fmla="*/ 810615201 w 191"/>
              <a:gd name="T19" fmla="*/ 2147483647 h 241"/>
              <a:gd name="T20" fmla="*/ 0 w 191"/>
              <a:gd name="T21" fmla="*/ 1397020367 h 241"/>
              <a:gd name="T22" fmla="*/ 0 w 191"/>
              <a:gd name="T23" fmla="*/ 1387516156 h 241"/>
              <a:gd name="T24" fmla="*/ 810615201 w 191"/>
              <a:gd name="T25" fmla="*/ 503686189 h 241"/>
              <a:gd name="T26" fmla="*/ 1357534983 w 191"/>
              <a:gd name="T27" fmla="*/ 760281390 h 241"/>
              <a:gd name="T28" fmla="*/ 1357534983 w 191"/>
              <a:gd name="T29" fmla="*/ 285104750 h 241"/>
              <a:gd name="T30" fmla="*/ 1650528504 w 191"/>
              <a:gd name="T31" fmla="*/ 0 h 241"/>
              <a:gd name="T32" fmla="*/ 1865390628 w 191"/>
              <a:gd name="T33" fmla="*/ 0 h 241"/>
              <a:gd name="T34" fmla="*/ 1865390628 w 191"/>
              <a:gd name="T35" fmla="*/ 2147483647 h 241"/>
              <a:gd name="T36" fmla="*/ 1357534983 w 191"/>
              <a:gd name="T37" fmla="*/ 2147483647 h 241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</a:gdLst>
            <a:ahLst/>
            <a:cxnLst>
              <a:cxn ang="T38">
                <a:pos x="T0" y="T1"/>
              </a:cxn>
              <a:cxn ang="T39">
                <a:pos x="T2" y="T3"/>
              </a:cxn>
              <a:cxn ang="T40">
                <a:pos x="T4" y="T5"/>
              </a:cxn>
              <a:cxn ang="T41">
                <a:pos x="T6" y="T7"/>
              </a:cxn>
              <a:cxn ang="T42">
                <a:pos x="T8" y="T9"/>
              </a:cxn>
              <a:cxn ang="T43">
                <a:pos x="T10" y="T11"/>
              </a:cxn>
              <a:cxn ang="T44">
                <a:pos x="T12" y="T13"/>
              </a:cxn>
              <a:cxn ang="T45">
                <a:pos x="T14" y="T15"/>
              </a:cxn>
              <a:cxn ang="T46">
                <a:pos x="T16" y="T17"/>
              </a:cxn>
              <a:cxn ang="T47">
                <a:pos x="T18" y="T19"/>
              </a:cxn>
              <a:cxn ang="T48">
                <a:pos x="T20" y="T21"/>
              </a:cxn>
              <a:cxn ang="T49">
                <a:pos x="T22" y="T23"/>
              </a:cxn>
              <a:cxn ang="T50">
                <a:pos x="T24" y="T25"/>
              </a:cxn>
              <a:cxn ang="T51">
                <a:pos x="T26" y="T27"/>
              </a:cxn>
              <a:cxn ang="T52">
                <a:pos x="T28" y="T29"/>
              </a:cxn>
              <a:cxn ang="T53">
                <a:pos x="T30" y="T31"/>
              </a:cxn>
              <a:cxn ang="T54">
                <a:pos x="T32" y="T33"/>
              </a:cxn>
              <a:cxn ang="T55">
                <a:pos x="T34" y="T35"/>
              </a:cxn>
              <a:cxn ang="T56">
                <a:pos x="T36" y="T37"/>
              </a:cxn>
            </a:cxnLst>
            <a:rect l="0" t="0" r="r" b="b"/>
            <a:pathLst>
              <a:path w="191" h="241">
                <a:moveTo>
                  <a:pt x="140" y="146"/>
                </a:moveTo>
                <a:cubicBezTo>
                  <a:pt x="140" y="116"/>
                  <a:pt x="120" y="96"/>
                  <a:pt x="96" y="96"/>
                </a:cubicBezTo>
                <a:cubicBezTo>
                  <a:pt x="72" y="96"/>
                  <a:pt x="52" y="116"/>
                  <a:pt x="52" y="146"/>
                </a:cubicBezTo>
                <a:lnTo>
                  <a:pt x="52" y="147"/>
                </a:lnTo>
                <a:cubicBezTo>
                  <a:pt x="52" y="177"/>
                  <a:pt x="72" y="197"/>
                  <a:pt x="96" y="197"/>
                </a:cubicBezTo>
                <a:cubicBezTo>
                  <a:pt x="120" y="197"/>
                  <a:pt x="140" y="177"/>
                  <a:pt x="140" y="147"/>
                </a:cubicBezTo>
                <a:lnTo>
                  <a:pt x="140" y="146"/>
                </a:lnTo>
                <a:moveTo>
                  <a:pt x="139" y="237"/>
                </a:moveTo>
                <a:lnTo>
                  <a:pt x="139" y="211"/>
                </a:lnTo>
                <a:cubicBezTo>
                  <a:pt x="127" y="228"/>
                  <a:pt x="110" y="241"/>
                  <a:pt x="83" y="241"/>
                </a:cubicBezTo>
                <a:cubicBezTo>
                  <a:pt x="41" y="241"/>
                  <a:pt x="0" y="207"/>
                  <a:pt x="0" y="147"/>
                </a:cubicBezTo>
                <a:lnTo>
                  <a:pt x="0" y="146"/>
                </a:lnTo>
                <a:cubicBezTo>
                  <a:pt x="0" y="86"/>
                  <a:pt x="40" y="53"/>
                  <a:pt x="83" y="53"/>
                </a:cubicBezTo>
                <a:cubicBezTo>
                  <a:pt x="110" y="53"/>
                  <a:pt x="127" y="65"/>
                  <a:pt x="139" y="80"/>
                </a:cubicBezTo>
                <a:lnTo>
                  <a:pt x="139" y="30"/>
                </a:lnTo>
                <a:cubicBezTo>
                  <a:pt x="139" y="28"/>
                  <a:pt x="140" y="0"/>
                  <a:pt x="169" y="0"/>
                </a:cubicBezTo>
                <a:lnTo>
                  <a:pt x="191" y="0"/>
                </a:lnTo>
                <a:lnTo>
                  <a:pt x="191" y="237"/>
                </a:lnTo>
                <a:lnTo>
                  <a:pt x="139" y="237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1" name="Freeform 150"/>
          <xdr:cNvSpPr>
            <a:spLocks noChangeArrowheads="1"/>
          </xdr:cNvSpPr>
        </xdr:nvSpPr>
        <xdr:spPr bwMode="auto">
          <a:xfrm>
            <a:off x="6372225" y="2787650"/>
            <a:ext cx="509588" cy="579438"/>
          </a:xfrm>
          <a:custGeom>
            <a:avLst/>
            <a:gdLst>
              <a:gd name="T0" fmla="*/ 1098720551 w 167"/>
              <a:gd name="T1" fmla="*/ 1063937549 h 188"/>
              <a:gd name="T2" fmla="*/ 800764142 w 167"/>
              <a:gd name="T3" fmla="*/ 997440875 h 188"/>
              <a:gd name="T4" fmla="*/ 465558987 w 167"/>
              <a:gd name="T5" fmla="*/ 1234927238 h 188"/>
              <a:gd name="T6" fmla="*/ 465558987 w 167"/>
              <a:gd name="T7" fmla="*/ 1244426322 h 188"/>
              <a:gd name="T8" fmla="*/ 726272751 w 167"/>
              <a:gd name="T9" fmla="*/ 1453415431 h 188"/>
              <a:gd name="T10" fmla="*/ 1098720551 w 167"/>
              <a:gd name="T11" fmla="*/ 1149432393 h 188"/>
              <a:gd name="T12" fmla="*/ 1098720551 w 167"/>
              <a:gd name="T13" fmla="*/ 1063937549 h 188"/>
              <a:gd name="T14" fmla="*/ 1089410653 w 167"/>
              <a:gd name="T15" fmla="*/ 1757398469 h 188"/>
              <a:gd name="T16" fmla="*/ 1089410653 w 167"/>
              <a:gd name="T17" fmla="*/ 1567407529 h 188"/>
              <a:gd name="T18" fmla="*/ 586605971 w 167"/>
              <a:gd name="T19" fmla="*/ 1785895723 h 188"/>
              <a:gd name="T20" fmla="*/ 0 w 167"/>
              <a:gd name="T21" fmla="*/ 1263427574 h 188"/>
              <a:gd name="T22" fmla="*/ 0 w 167"/>
              <a:gd name="T23" fmla="*/ 1253925407 h 188"/>
              <a:gd name="T24" fmla="*/ 679717158 w 167"/>
              <a:gd name="T25" fmla="*/ 702960004 h 188"/>
              <a:gd name="T26" fmla="*/ 1098720551 w 167"/>
              <a:gd name="T27" fmla="*/ 778955763 h 188"/>
              <a:gd name="T28" fmla="*/ 1098720551 w 167"/>
              <a:gd name="T29" fmla="*/ 750455427 h 188"/>
              <a:gd name="T30" fmla="*/ 735585701 w 167"/>
              <a:gd name="T31" fmla="*/ 417975136 h 188"/>
              <a:gd name="T32" fmla="*/ 270023663 w 167"/>
              <a:gd name="T33" fmla="*/ 512969064 h 188"/>
              <a:gd name="T34" fmla="*/ 148979730 w 167"/>
              <a:gd name="T35" fmla="*/ 142492434 h 188"/>
              <a:gd name="T36" fmla="*/ 800764142 w 167"/>
              <a:gd name="T37" fmla="*/ 0 h 188"/>
              <a:gd name="T38" fmla="*/ 1554969639 w 167"/>
              <a:gd name="T39" fmla="*/ 740956343 h 188"/>
              <a:gd name="T40" fmla="*/ 1554969639 w 167"/>
              <a:gd name="T41" fmla="*/ 1757398469 h 188"/>
              <a:gd name="T42" fmla="*/ 1089410653 w 167"/>
              <a:gd name="T43" fmla="*/ 1757398469 h 188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  <a:gd name="T51" fmla="*/ 0 60000 65536"/>
              <a:gd name="T52" fmla="*/ 0 60000 65536"/>
              <a:gd name="T53" fmla="*/ 0 60000 65536"/>
              <a:gd name="T54" fmla="*/ 0 60000 65536"/>
              <a:gd name="T55" fmla="*/ 0 60000 65536"/>
              <a:gd name="T56" fmla="*/ 0 60000 65536"/>
              <a:gd name="T57" fmla="*/ 0 60000 65536"/>
              <a:gd name="T58" fmla="*/ 0 60000 65536"/>
              <a:gd name="T59" fmla="*/ 0 60000 65536"/>
              <a:gd name="T60" fmla="*/ 0 60000 65536"/>
              <a:gd name="T61" fmla="*/ 0 60000 65536"/>
              <a:gd name="T62" fmla="*/ 0 60000 65536"/>
              <a:gd name="T63" fmla="*/ 0 60000 65536"/>
              <a:gd name="T64" fmla="*/ 0 60000 65536"/>
              <a:gd name="T65" fmla="*/ 0 60000 65536"/>
            </a:gdLst>
            <a:ahLst/>
            <a:cxnLst>
              <a:cxn ang="T44">
                <a:pos x="T0" y="T1"/>
              </a:cxn>
              <a:cxn ang="T45">
                <a:pos x="T2" y="T3"/>
              </a:cxn>
              <a:cxn ang="T46">
                <a:pos x="T4" y="T5"/>
              </a:cxn>
              <a:cxn ang="T47">
                <a:pos x="T6" y="T7"/>
              </a:cxn>
              <a:cxn ang="T48">
                <a:pos x="T8" y="T9"/>
              </a:cxn>
              <a:cxn ang="T49">
                <a:pos x="T10" y="T11"/>
              </a:cxn>
              <a:cxn ang="T50">
                <a:pos x="T12" y="T13"/>
              </a:cxn>
              <a:cxn ang="T51">
                <a:pos x="T14" y="T15"/>
              </a:cxn>
              <a:cxn ang="T52">
                <a:pos x="T16" y="T17"/>
              </a:cxn>
              <a:cxn ang="T53">
                <a:pos x="T18" y="T19"/>
              </a:cxn>
              <a:cxn ang="T54">
                <a:pos x="T20" y="T21"/>
              </a:cxn>
              <a:cxn ang="T55">
                <a:pos x="T22" y="T23"/>
              </a:cxn>
              <a:cxn ang="T56">
                <a:pos x="T24" y="T25"/>
              </a:cxn>
              <a:cxn ang="T57">
                <a:pos x="T26" y="T27"/>
              </a:cxn>
              <a:cxn ang="T58">
                <a:pos x="T28" y="T29"/>
              </a:cxn>
              <a:cxn ang="T59">
                <a:pos x="T30" y="T31"/>
              </a:cxn>
              <a:cxn ang="T60">
                <a:pos x="T32" y="T33"/>
              </a:cxn>
              <a:cxn ang="T61">
                <a:pos x="T34" y="T35"/>
              </a:cxn>
              <a:cxn ang="T62">
                <a:pos x="T36" y="T37"/>
              </a:cxn>
              <a:cxn ang="T63">
                <a:pos x="T38" y="T39"/>
              </a:cxn>
              <a:cxn ang="T64">
                <a:pos x="T40" y="T41"/>
              </a:cxn>
              <a:cxn ang="T65">
                <a:pos x="T42" y="T43"/>
              </a:cxn>
            </a:cxnLst>
            <a:rect l="0" t="0" r="r" b="b"/>
            <a:pathLst>
              <a:path w="167" h="188">
                <a:moveTo>
                  <a:pt x="118" y="112"/>
                </a:moveTo>
                <a:cubicBezTo>
                  <a:pt x="110" y="108"/>
                  <a:pt x="98" y="105"/>
                  <a:pt x="86" y="105"/>
                </a:cubicBezTo>
                <a:cubicBezTo>
                  <a:pt x="64" y="105"/>
                  <a:pt x="50" y="114"/>
                  <a:pt x="50" y="130"/>
                </a:cubicBezTo>
                <a:lnTo>
                  <a:pt x="50" y="131"/>
                </a:lnTo>
                <a:cubicBezTo>
                  <a:pt x="50" y="145"/>
                  <a:pt x="62" y="153"/>
                  <a:pt x="78" y="153"/>
                </a:cubicBezTo>
                <a:cubicBezTo>
                  <a:pt x="102" y="153"/>
                  <a:pt x="118" y="140"/>
                  <a:pt x="118" y="121"/>
                </a:cubicBezTo>
                <a:lnTo>
                  <a:pt x="118" y="112"/>
                </a:lnTo>
                <a:moveTo>
                  <a:pt x="117" y="185"/>
                </a:moveTo>
                <a:lnTo>
                  <a:pt x="117" y="165"/>
                </a:lnTo>
                <a:cubicBezTo>
                  <a:pt x="105" y="179"/>
                  <a:pt x="88" y="188"/>
                  <a:pt x="63" y="188"/>
                </a:cubicBezTo>
                <a:cubicBezTo>
                  <a:pt x="28" y="188"/>
                  <a:pt x="0" y="169"/>
                  <a:pt x="0" y="133"/>
                </a:cubicBezTo>
                <a:lnTo>
                  <a:pt x="0" y="132"/>
                </a:lnTo>
                <a:cubicBezTo>
                  <a:pt x="0" y="93"/>
                  <a:pt x="30" y="74"/>
                  <a:pt x="73" y="74"/>
                </a:cubicBezTo>
                <a:cubicBezTo>
                  <a:pt x="92" y="74"/>
                  <a:pt x="105" y="77"/>
                  <a:pt x="118" y="82"/>
                </a:cubicBezTo>
                <a:lnTo>
                  <a:pt x="118" y="79"/>
                </a:lnTo>
                <a:cubicBezTo>
                  <a:pt x="118" y="57"/>
                  <a:pt x="105" y="44"/>
                  <a:pt x="79" y="44"/>
                </a:cubicBezTo>
                <a:cubicBezTo>
                  <a:pt x="59" y="44"/>
                  <a:pt x="45" y="48"/>
                  <a:pt x="29" y="54"/>
                </a:cubicBezTo>
                <a:lnTo>
                  <a:pt x="16" y="15"/>
                </a:lnTo>
                <a:cubicBezTo>
                  <a:pt x="36" y="6"/>
                  <a:pt x="55" y="0"/>
                  <a:pt x="86" y="0"/>
                </a:cubicBezTo>
                <a:cubicBezTo>
                  <a:pt x="142" y="0"/>
                  <a:pt x="167" y="29"/>
                  <a:pt x="167" y="78"/>
                </a:cubicBezTo>
                <a:lnTo>
                  <a:pt x="167" y="185"/>
                </a:lnTo>
                <a:lnTo>
                  <a:pt x="117" y="185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2" name="Freeform 151"/>
          <xdr:cNvSpPr>
            <a:spLocks noChangeArrowheads="1"/>
          </xdr:cNvSpPr>
        </xdr:nvSpPr>
        <xdr:spPr bwMode="auto">
          <a:xfrm>
            <a:off x="6867525" y="2795588"/>
            <a:ext cx="587375" cy="565150"/>
          </a:xfrm>
          <a:custGeom>
            <a:avLst/>
            <a:gdLst>
              <a:gd name="T0" fmla="*/ 1127732177 w 190"/>
              <a:gd name="T1" fmla="*/ 1754914959 h 182"/>
              <a:gd name="T2" fmla="*/ 678551057 w 190"/>
              <a:gd name="T3" fmla="*/ 1754914959 h 182"/>
              <a:gd name="T4" fmla="*/ 0 w 190"/>
              <a:gd name="T5" fmla="*/ 0 h 182"/>
              <a:gd name="T6" fmla="*/ 525638796 w 190"/>
              <a:gd name="T7" fmla="*/ 0 h 182"/>
              <a:gd name="T8" fmla="*/ 907920995 w 190"/>
              <a:gd name="T9" fmla="*/ 1166730438 h 182"/>
              <a:gd name="T10" fmla="*/ 1204186762 w 190"/>
              <a:gd name="T11" fmla="*/ 279628146 h 182"/>
              <a:gd name="T12" fmla="*/ 1481341201 w 190"/>
              <a:gd name="T13" fmla="*/ 0 h 182"/>
              <a:gd name="T14" fmla="*/ 1815838898 w 190"/>
              <a:gd name="T15" fmla="*/ 0 h 182"/>
              <a:gd name="T16" fmla="*/ 1127732177 w 190"/>
              <a:gd name="T17" fmla="*/ 1754914959 h 182"/>
              <a:gd name="T18" fmla="*/ 0 60000 65536"/>
              <a:gd name="T19" fmla="*/ 0 60000 65536"/>
              <a:gd name="T20" fmla="*/ 0 60000 65536"/>
              <a:gd name="T21" fmla="*/ 0 60000 6553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</a:gdLst>
            <a:ahLst/>
            <a:cxnLst>
              <a:cxn ang="T18">
                <a:pos x="T0" y="T1"/>
              </a:cxn>
              <a:cxn ang="T19">
                <a:pos x="T2" y="T3"/>
              </a:cxn>
              <a:cxn ang="T20">
                <a:pos x="T4" y="T5"/>
              </a:cxn>
              <a:cxn ang="T21">
                <a:pos x="T6" y="T7"/>
              </a:cxn>
              <a:cxn ang="T22">
                <a:pos x="T8" y="T9"/>
              </a:cxn>
              <a:cxn ang="T23">
                <a:pos x="T10" y="T11"/>
              </a:cxn>
              <a:cxn ang="T24">
                <a:pos x="T12" y="T13"/>
              </a:cxn>
              <a:cxn ang="T25">
                <a:pos x="T14" y="T15"/>
              </a:cxn>
              <a:cxn ang="T26">
                <a:pos x="T16" y="T17"/>
              </a:cxn>
            </a:cxnLst>
            <a:rect l="0" t="0" r="r" b="b"/>
            <a:pathLst>
              <a:path w="190" h="182">
                <a:moveTo>
                  <a:pt x="118" y="182"/>
                </a:moveTo>
                <a:lnTo>
                  <a:pt x="71" y="182"/>
                </a:lnTo>
                <a:lnTo>
                  <a:pt x="0" y="0"/>
                </a:lnTo>
                <a:lnTo>
                  <a:pt x="55" y="0"/>
                </a:lnTo>
                <a:lnTo>
                  <a:pt x="95" y="121"/>
                </a:lnTo>
                <a:lnTo>
                  <a:pt x="126" y="29"/>
                </a:lnTo>
                <a:cubicBezTo>
                  <a:pt x="126" y="29"/>
                  <a:pt x="135" y="0"/>
                  <a:pt x="155" y="0"/>
                </a:cubicBezTo>
                <a:lnTo>
                  <a:pt x="190" y="0"/>
                </a:lnTo>
                <a:lnTo>
                  <a:pt x="118" y="182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3" name="Freeform 152"/>
          <xdr:cNvSpPr>
            <a:spLocks noChangeArrowheads="1"/>
          </xdr:cNvSpPr>
        </xdr:nvSpPr>
        <xdr:spPr bwMode="auto">
          <a:xfrm>
            <a:off x="8066088" y="2795588"/>
            <a:ext cx="519112" cy="571500"/>
          </a:xfrm>
          <a:custGeom>
            <a:avLst/>
            <a:gdLst>
              <a:gd name="T0" fmla="*/ 1111185658 w 167"/>
              <a:gd name="T1" fmla="*/ 1746125071 h 184"/>
              <a:gd name="T2" fmla="*/ 1111185658 w 167"/>
              <a:gd name="T3" fmla="*/ 1495301796 h 184"/>
              <a:gd name="T4" fmla="*/ 599073899 w 167"/>
              <a:gd name="T5" fmla="*/ 1775066576 h 184"/>
              <a:gd name="T6" fmla="*/ 9661078 w 167"/>
              <a:gd name="T7" fmla="*/ 1128709394 h 184"/>
              <a:gd name="T8" fmla="*/ 9661078 w 167"/>
              <a:gd name="T9" fmla="*/ 279764780 h 184"/>
              <a:gd name="T10" fmla="*/ 289875871 w 167"/>
              <a:gd name="T11" fmla="*/ 0 h 184"/>
              <a:gd name="T12" fmla="*/ 502450681 w 167"/>
              <a:gd name="T13" fmla="*/ 0 h 184"/>
              <a:gd name="T14" fmla="*/ 502450681 w 167"/>
              <a:gd name="T15" fmla="*/ 974357804 h 184"/>
              <a:gd name="T16" fmla="*/ 801987630 w 167"/>
              <a:gd name="T17" fmla="*/ 1331299932 h 184"/>
              <a:gd name="T18" fmla="*/ 1111185658 w 167"/>
              <a:gd name="T19" fmla="*/ 974357804 h 184"/>
              <a:gd name="T20" fmla="*/ 1111185658 w 167"/>
              <a:gd name="T21" fmla="*/ 279764780 h 184"/>
              <a:gd name="T22" fmla="*/ 1401061529 w 167"/>
              <a:gd name="T23" fmla="*/ 0 h 184"/>
              <a:gd name="T24" fmla="*/ 1613636339 w 167"/>
              <a:gd name="T25" fmla="*/ 0 h 184"/>
              <a:gd name="T26" fmla="*/ 1613636339 w 167"/>
              <a:gd name="T27" fmla="*/ 1746125071 h 184"/>
              <a:gd name="T28" fmla="*/ 1111185658 w 167"/>
              <a:gd name="T29" fmla="*/ 1746125071 h 184"/>
              <a:gd name="T30" fmla="*/ 0 60000 65536"/>
              <a:gd name="T31" fmla="*/ 0 60000 65536"/>
              <a:gd name="T32" fmla="*/ 0 60000 65536"/>
              <a:gd name="T33" fmla="*/ 0 60000 65536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</a:gdLst>
            <a:ahLst/>
            <a:cxnLst>
              <a:cxn ang="T30">
                <a:pos x="T0" y="T1"/>
              </a:cxn>
              <a:cxn ang="T31">
                <a:pos x="T2" y="T3"/>
              </a:cxn>
              <a:cxn ang="T32">
                <a:pos x="T4" y="T5"/>
              </a:cxn>
              <a:cxn ang="T33">
                <a:pos x="T6" y="T7"/>
              </a:cxn>
              <a:cxn ang="T34">
                <a:pos x="T8" y="T9"/>
              </a:cxn>
              <a:cxn ang="T35">
                <a:pos x="T10" y="T11"/>
              </a:cxn>
              <a:cxn ang="T36">
                <a:pos x="T12" y="T13"/>
              </a:cxn>
              <a:cxn ang="T37">
                <a:pos x="T14" y="T15"/>
              </a:cxn>
              <a:cxn ang="T38">
                <a:pos x="T16" y="T17"/>
              </a:cxn>
              <a:cxn ang="T39">
                <a:pos x="T18" y="T19"/>
              </a:cxn>
              <a:cxn ang="T40">
                <a:pos x="T20" y="T21"/>
              </a:cxn>
              <a:cxn ang="T41">
                <a:pos x="T22" y="T23"/>
              </a:cxn>
              <a:cxn ang="T42">
                <a:pos x="T24" y="T25"/>
              </a:cxn>
              <a:cxn ang="T43">
                <a:pos x="T26" y="T27"/>
              </a:cxn>
              <a:cxn ang="T44">
                <a:pos x="T28" y="T29"/>
              </a:cxn>
            </a:cxnLst>
            <a:rect l="0" t="0" r="r" b="b"/>
            <a:pathLst>
              <a:path w="167" h="184">
                <a:moveTo>
                  <a:pt x="115" y="181"/>
                </a:moveTo>
                <a:lnTo>
                  <a:pt x="115" y="155"/>
                </a:lnTo>
                <a:cubicBezTo>
                  <a:pt x="103" y="170"/>
                  <a:pt x="88" y="184"/>
                  <a:pt x="62" y="184"/>
                </a:cubicBezTo>
                <a:cubicBezTo>
                  <a:pt x="23" y="184"/>
                  <a:pt x="1" y="159"/>
                  <a:pt x="1" y="117"/>
                </a:cubicBezTo>
                <a:lnTo>
                  <a:pt x="1" y="29"/>
                </a:lnTo>
                <a:cubicBezTo>
                  <a:pt x="1" y="27"/>
                  <a:pt x="0" y="0"/>
                  <a:pt x="30" y="0"/>
                </a:cubicBezTo>
                <a:lnTo>
                  <a:pt x="52" y="0"/>
                </a:lnTo>
                <a:lnTo>
                  <a:pt x="52" y="101"/>
                </a:lnTo>
                <a:cubicBezTo>
                  <a:pt x="52" y="125"/>
                  <a:pt x="64" y="138"/>
                  <a:pt x="83" y="138"/>
                </a:cubicBezTo>
                <a:cubicBezTo>
                  <a:pt x="103" y="138"/>
                  <a:pt x="115" y="125"/>
                  <a:pt x="115" y="101"/>
                </a:cubicBezTo>
                <a:lnTo>
                  <a:pt x="115" y="29"/>
                </a:lnTo>
                <a:cubicBezTo>
                  <a:pt x="115" y="26"/>
                  <a:pt x="116" y="0"/>
                  <a:pt x="145" y="0"/>
                </a:cubicBezTo>
                <a:lnTo>
                  <a:pt x="167" y="0"/>
                </a:lnTo>
                <a:lnTo>
                  <a:pt x="167" y="181"/>
                </a:lnTo>
                <a:lnTo>
                  <a:pt x="115" y="181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4" name="Freeform 153"/>
          <xdr:cNvSpPr>
            <a:spLocks noChangeArrowheads="1"/>
          </xdr:cNvSpPr>
        </xdr:nvSpPr>
        <xdr:spPr bwMode="auto">
          <a:xfrm>
            <a:off x="8631238" y="2779713"/>
            <a:ext cx="333375" cy="581025"/>
          </a:xfrm>
          <a:custGeom>
            <a:avLst/>
            <a:gdLst>
              <a:gd name="T0" fmla="*/ 991561239 w 109"/>
              <a:gd name="T1" fmla="*/ 536692168 h 186"/>
              <a:gd name="T2" fmla="*/ 477071859 w 109"/>
              <a:gd name="T3" fmla="*/ 1161209700 h 186"/>
              <a:gd name="T4" fmla="*/ 477071859 w 109"/>
              <a:gd name="T5" fmla="*/ 1815000272 h 186"/>
              <a:gd name="T6" fmla="*/ 0 w 109"/>
              <a:gd name="T7" fmla="*/ 1815000272 h 186"/>
              <a:gd name="T8" fmla="*/ 0 w 109"/>
              <a:gd name="T9" fmla="*/ 331774646 h 186"/>
              <a:gd name="T10" fmla="*/ 280631405 w 109"/>
              <a:gd name="T11" fmla="*/ 48790481 h 186"/>
              <a:gd name="T12" fmla="*/ 477071859 w 109"/>
              <a:gd name="T13" fmla="*/ 48790481 h 186"/>
              <a:gd name="T14" fmla="*/ 477071859 w 109"/>
              <a:gd name="T15" fmla="*/ 400079446 h 186"/>
              <a:gd name="T16" fmla="*/ 1019622850 w 109"/>
              <a:gd name="T17" fmla="*/ 9758721 h 186"/>
              <a:gd name="T18" fmla="*/ 1019622850 w 109"/>
              <a:gd name="T19" fmla="*/ 536692168 h 186"/>
              <a:gd name="T20" fmla="*/ 991561239 w 109"/>
              <a:gd name="T21" fmla="*/ 536692168 h 186"/>
              <a:gd name="T22" fmla="*/ 0 60000 65536"/>
              <a:gd name="T23" fmla="*/ 0 60000 65536"/>
              <a:gd name="T24" fmla="*/ 0 60000 65536"/>
              <a:gd name="T25" fmla="*/ 0 60000 65536"/>
              <a:gd name="T26" fmla="*/ 0 60000 65536"/>
              <a:gd name="T27" fmla="*/ 0 60000 65536"/>
              <a:gd name="T28" fmla="*/ 0 60000 65536"/>
              <a:gd name="T29" fmla="*/ 0 60000 65536"/>
              <a:gd name="T30" fmla="*/ 0 60000 65536"/>
              <a:gd name="T31" fmla="*/ 0 60000 65536"/>
              <a:gd name="T32" fmla="*/ 0 60000 65536"/>
            </a:gdLst>
            <a:ahLst/>
            <a:cxnLst>
              <a:cxn ang="T22">
                <a:pos x="T0" y="T1"/>
              </a:cxn>
              <a:cxn ang="T23">
                <a:pos x="T2" y="T3"/>
              </a:cxn>
              <a:cxn ang="T24">
                <a:pos x="T4" y="T5"/>
              </a:cxn>
              <a:cxn ang="T25">
                <a:pos x="T6" y="T7"/>
              </a:cxn>
              <a:cxn ang="T26">
                <a:pos x="T8" y="T9"/>
              </a:cxn>
              <a:cxn ang="T27">
                <a:pos x="T10" y="T11"/>
              </a:cxn>
              <a:cxn ang="T28">
                <a:pos x="T12" y="T13"/>
              </a:cxn>
              <a:cxn ang="T29">
                <a:pos x="T14" y="T15"/>
              </a:cxn>
              <a:cxn ang="T30">
                <a:pos x="T16" y="T17"/>
              </a:cxn>
              <a:cxn ang="T31">
                <a:pos x="T18" y="T19"/>
              </a:cxn>
              <a:cxn ang="T32">
                <a:pos x="T20" y="T21"/>
              </a:cxn>
            </a:cxnLst>
            <a:rect l="0" t="0" r="r" b="b"/>
            <a:pathLst>
              <a:path w="109" h="186">
                <a:moveTo>
                  <a:pt x="106" y="55"/>
                </a:moveTo>
                <a:cubicBezTo>
                  <a:pt x="72" y="55"/>
                  <a:pt x="51" y="76"/>
                  <a:pt x="51" y="119"/>
                </a:cubicBezTo>
                <a:lnTo>
                  <a:pt x="51" y="186"/>
                </a:lnTo>
                <a:lnTo>
                  <a:pt x="0" y="186"/>
                </a:lnTo>
                <a:lnTo>
                  <a:pt x="0" y="34"/>
                </a:lnTo>
                <a:cubicBezTo>
                  <a:pt x="0" y="33"/>
                  <a:pt x="0" y="5"/>
                  <a:pt x="30" y="5"/>
                </a:cubicBezTo>
                <a:lnTo>
                  <a:pt x="51" y="5"/>
                </a:lnTo>
                <a:lnTo>
                  <a:pt x="51" y="41"/>
                </a:lnTo>
                <a:cubicBezTo>
                  <a:pt x="62" y="16"/>
                  <a:pt x="79" y="0"/>
                  <a:pt x="109" y="1"/>
                </a:cubicBezTo>
                <a:lnTo>
                  <a:pt x="109" y="55"/>
                </a:lnTo>
                <a:lnTo>
                  <a:pt x="106" y="55"/>
                </a:ln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5" name="Freeform 154"/>
          <xdr:cNvSpPr>
            <a:spLocks noChangeArrowheads="1"/>
          </xdr:cNvSpPr>
        </xdr:nvSpPr>
        <xdr:spPr bwMode="auto">
          <a:xfrm>
            <a:off x="5791200" y="2787650"/>
            <a:ext cx="549275" cy="579438"/>
          </a:xfrm>
          <a:custGeom>
            <a:avLst/>
            <a:gdLst>
              <a:gd name="T0" fmla="*/ 857001690 w 178"/>
              <a:gd name="T1" fmla="*/ 0 h 189"/>
              <a:gd name="T2" fmla="*/ 0 w 178"/>
              <a:gd name="T3" fmla="*/ 883523383 h 189"/>
              <a:gd name="T4" fmla="*/ 0 w 178"/>
              <a:gd name="T5" fmla="*/ 892923155 h 189"/>
              <a:gd name="T6" fmla="*/ 904612724 w 178"/>
              <a:gd name="T7" fmla="*/ 1776446539 h 189"/>
              <a:gd name="T8" fmla="*/ 1609261575 w 178"/>
              <a:gd name="T9" fmla="*/ 1456872686 h 189"/>
              <a:gd name="T10" fmla="*/ 1333115112 w 178"/>
              <a:gd name="T11" fmla="*/ 1212493943 h 189"/>
              <a:gd name="T12" fmla="*/ 914135547 w 178"/>
              <a:gd name="T13" fmla="*/ 1391080413 h 189"/>
              <a:gd name="T14" fmla="*/ 485636245 w 178"/>
              <a:gd name="T15" fmla="*/ 1024510766 h 189"/>
              <a:gd name="T16" fmla="*/ 476113421 w 178"/>
              <a:gd name="T17" fmla="*/ 733136229 h 189"/>
              <a:gd name="T18" fmla="*/ 857001690 w 178"/>
              <a:gd name="T19" fmla="*/ 385366126 h 189"/>
              <a:gd name="T20" fmla="*/ 1218847397 w 178"/>
              <a:gd name="T21" fmla="*/ 751935773 h 189"/>
              <a:gd name="T22" fmla="*/ 571335489 w 178"/>
              <a:gd name="T23" fmla="*/ 751935773 h 189"/>
              <a:gd name="T24" fmla="*/ 828436304 w 178"/>
              <a:gd name="T25" fmla="*/ 1052710082 h 189"/>
              <a:gd name="T26" fmla="*/ 1685437994 w 178"/>
              <a:gd name="T27" fmla="*/ 1052710082 h 189"/>
              <a:gd name="T28" fmla="*/ 1694960818 w 178"/>
              <a:gd name="T29" fmla="*/ 930519178 h 189"/>
              <a:gd name="T30" fmla="*/ 1694960818 w 178"/>
              <a:gd name="T31" fmla="*/ 930519178 h 189"/>
              <a:gd name="T32" fmla="*/ 857001690 w 178"/>
              <a:gd name="T33" fmla="*/ 0 h 189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0" t="0" r="r" b="b"/>
            <a:pathLst>
              <a:path w="178" h="189">
                <a:moveTo>
                  <a:pt x="90" y="0"/>
                </a:moveTo>
                <a:cubicBezTo>
                  <a:pt x="37" y="0"/>
                  <a:pt x="0" y="43"/>
                  <a:pt x="0" y="94"/>
                </a:cubicBezTo>
                <a:lnTo>
                  <a:pt x="0" y="95"/>
                </a:lnTo>
                <a:cubicBezTo>
                  <a:pt x="0" y="151"/>
                  <a:pt x="40" y="189"/>
                  <a:pt x="95" y="189"/>
                </a:cubicBezTo>
                <a:cubicBezTo>
                  <a:pt x="128" y="189"/>
                  <a:pt x="152" y="176"/>
                  <a:pt x="169" y="155"/>
                </a:cubicBezTo>
                <a:lnTo>
                  <a:pt x="140" y="129"/>
                </a:lnTo>
                <a:cubicBezTo>
                  <a:pt x="125" y="142"/>
                  <a:pt x="113" y="147"/>
                  <a:pt x="96" y="148"/>
                </a:cubicBezTo>
                <a:cubicBezTo>
                  <a:pt x="71" y="148"/>
                  <a:pt x="53" y="128"/>
                  <a:pt x="51" y="109"/>
                </a:cubicBezTo>
                <a:cubicBezTo>
                  <a:pt x="48" y="91"/>
                  <a:pt x="49" y="86"/>
                  <a:pt x="50" y="78"/>
                </a:cubicBezTo>
                <a:cubicBezTo>
                  <a:pt x="54" y="56"/>
                  <a:pt x="68" y="41"/>
                  <a:pt x="90" y="41"/>
                </a:cubicBezTo>
                <a:cubicBezTo>
                  <a:pt x="111" y="41"/>
                  <a:pt x="125" y="57"/>
                  <a:pt x="128" y="80"/>
                </a:cubicBezTo>
                <a:lnTo>
                  <a:pt x="60" y="80"/>
                </a:lnTo>
                <a:cubicBezTo>
                  <a:pt x="60" y="80"/>
                  <a:pt x="59" y="112"/>
                  <a:pt x="87" y="112"/>
                </a:cubicBezTo>
                <a:lnTo>
                  <a:pt x="177" y="112"/>
                </a:lnTo>
                <a:cubicBezTo>
                  <a:pt x="178" y="107"/>
                  <a:pt x="178" y="104"/>
                  <a:pt x="178" y="99"/>
                </a:cubicBezTo>
                <a:cubicBezTo>
                  <a:pt x="178" y="47"/>
                  <a:pt x="150" y="0"/>
                  <a:pt x="90" y="0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  <xdr:sp macro="" textlink="">
        <xdr:nvSpPr>
          <xdr:cNvPr id="156" name="Freeform 155"/>
          <xdr:cNvSpPr>
            <a:spLocks noChangeArrowheads="1"/>
          </xdr:cNvSpPr>
        </xdr:nvSpPr>
        <xdr:spPr bwMode="auto">
          <a:xfrm>
            <a:off x="5156200" y="3662363"/>
            <a:ext cx="549275" cy="587375"/>
          </a:xfrm>
          <a:custGeom>
            <a:avLst/>
            <a:gdLst>
              <a:gd name="T0" fmla="*/ 857001690 w 178"/>
              <a:gd name="T1" fmla="*/ 0 h 189"/>
              <a:gd name="T2" fmla="*/ 0 w 178"/>
              <a:gd name="T3" fmla="*/ 917551229 h 189"/>
              <a:gd name="T4" fmla="*/ 0 w 178"/>
              <a:gd name="T5" fmla="*/ 917551229 h 189"/>
              <a:gd name="T6" fmla="*/ 904612724 w 178"/>
              <a:gd name="T7" fmla="*/ 1825446511 h 189"/>
              <a:gd name="T8" fmla="*/ 1609261575 w 178"/>
              <a:gd name="T9" fmla="*/ 1497060377 h 189"/>
              <a:gd name="T10" fmla="*/ 1333115112 w 178"/>
              <a:gd name="T11" fmla="*/ 1245940472 h 189"/>
              <a:gd name="T12" fmla="*/ 914135547 w 178"/>
              <a:gd name="T13" fmla="*/ 1429450096 h 189"/>
              <a:gd name="T14" fmla="*/ 485636245 w 178"/>
              <a:gd name="T15" fmla="*/ 1052771792 h 189"/>
              <a:gd name="T16" fmla="*/ 485636245 w 178"/>
              <a:gd name="T17" fmla="*/ 763018772 h 189"/>
              <a:gd name="T18" fmla="*/ 857001690 w 178"/>
              <a:gd name="T19" fmla="*/ 405655471 h 189"/>
              <a:gd name="T20" fmla="*/ 1218847397 w 178"/>
              <a:gd name="T21" fmla="*/ 772674720 h 189"/>
              <a:gd name="T22" fmla="*/ 580858313 w 178"/>
              <a:gd name="T23" fmla="*/ 772674720 h 189"/>
              <a:gd name="T24" fmla="*/ 837959128 w 178"/>
              <a:gd name="T25" fmla="*/ 1081745851 h 189"/>
              <a:gd name="T26" fmla="*/ 1694960818 w 178"/>
              <a:gd name="T27" fmla="*/ 1081745851 h 189"/>
              <a:gd name="T28" fmla="*/ 1694960818 w 178"/>
              <a:gd name="T29" fmla="*/ 956187452 h 189"/>
              <a:gd name="T30" fmla="*/ 1694960818 w 178"/>
              <a:gd name="T31" fmla="*/ 956187452 h 189"/>
              <a:gd name="T32" fmla="*/ 857001690 w 178"/>
              <a:gd name="T33" fmla="*/ 0 h 189"/>
              <a:gd name="T34" fmla="*/ 0 60000 65536"/>
              <a:gd name="T35" fmla="*/ 0 60000 65536"/>
              <a:gd name="T36" fmla="*/ 0 60000 65536"/>
              <a:gd name="T37" fmla="*/ 0 60000 65536"/>
              <a:gd name="T38" fmla="*/ 0 60000 65536"/>
              <a:gd name="T39" fmla="*/ 0 60000 65536"/>
              <a:gd name="T40" fmla="*/ 0 60000 65536"/>
              <a:gd name="T41" fmla="*/ 0 60000 65536"/>
              <a:gd name="T42" fmla="*/ 0 60000 65536"/>
              <a:gd name="T43" fmla="*/ 0 60000 65536"/>
              <a:gd name="T44" fmla="*/ 0 60000 65536"/>
              <a:gd name="T45" fmla="*/ 0 60000 65536"/>
              <a:gd name="T46" fmla="*/ 0 60000 65536"/>
              <a:gd name="T47" fmla="*/ 0 60000 65536"/>
              <a:gd name="T48" fmla="*/ 0 60000 65536"/>
              <a:gd name="T49" fmla="*/ 0 60000 65536"/>
              <a:gd name="T50" fmla="*/ 0 60000 65536"/>
            </a:gdLst>
            <a:ahLst/>
            <a:cxnLst>
              <a:cxn ang="T34">
                <a:pos x="T0" y="T1"/>
              </a:cxn>
              <a:cxn ang="T35">
                <a:pos x="T2" y="T3"/>
              </a:cxn>
              <a:cxn ang="T36">
                <a:pos x="T4" y="T5"/>
              </a:cxn>
              <a:cxn ang="T37">
                <a:pos x="T6" y="T7"/>
              </a:cxn>
              <a:cxn ang="T38">
                <a:pos x="T8" y="T9"/>
              </a:cxn>
              <a:cxn ang="T39">
                <a:pos x="T10" y="T11"/>
              </a:cxn>
              <a:cxn ang="T40">
                <a:pos x="T12" y="T13"/>
              </a:cxn>
              <a:cxn ang="T41">
                <a:pos x="T14" y="T15"/>
              </a:cxn>
              <a:cxn ang="T42">
                <a:pos x="T16" y="T17"/>
              </a:cxn>
              <a:cxn ang="T43">
                <a:pos x="T18" y="T19"/>
              </a:cxn>
              <a:cxn ang="T44">
                <a:pos x="T20" y="T21"/>
              </a:cxn>
              <a:cxn ang="T45">
                <a:pos x="T22" y="T23"/>
              </a:cxn>
              <a:cxn ang="T46">
                <a:pos x="T24" y="T25"/>
              </a:cxn>
              <a:cxn ang="T47">
                <a:pos x="T26" y="T27"/>
              </a:cxn>
              <a:cxn ang="T48">
                <a:pos x="T28" y="T29"/>
              </a:cxn>
              <a:cxn ang="T49">
                <a:pos x="T30" y="T31"/>
              </a:cxn>
              <a:cxn ang="T50">
                <a:pos x="T32" y="T33"/>
              </a:cxn>
            </a:cxnLst>
            <a:rect l="0" t="0" r="r" b="b"/>
            <a:pathLst>
              <a:path w="178" h="189">
                <a:moveTo>
                  <a:pt x="90" y="0"/>
                </a:moveTo>
                <a:cubicBezTo>
                  <a:pt x="37" y="0"/>
                  <a:pt x="0" y="43"/>
                  <a:pt x="0" y="95"/>
                </a:cubicBezTo>
                <a:cubicBezTo>
                  <a:pt x="0" y="151"/>
                  <a:pt x="41" y="189"/>
                  <a:pt x="95" y="189"/>
                </a:cubicBezTo>
                <a:cubicBezTo>
                  <a:pt x="128" y="189"/>
                  <a:pt x="152" y="176"/>
                  <a:pt x="169" y="155"/>
                </a:cubicBezTo>
                <a:lnTo>
                  <a:pt x="140" y="129"/>
                </a:lnTo>
                <a:cubicBezTo>
                  <a:pt x="126" y="142"/>
                  <a:pt x="113" y="147"/>
                  <a:pt x="96" y="148"/>
                </a:cubicBezTo>
                <a:cubicBezTo>
                  <a:pt x="71" y="148"/>
                  <a:pt x="53" y="129"/>
                  <a:pt x="51" y="109"/>
                </a:cubicBezTo>
                <a:cubicBezTo>
                  <a:pt x="49" y="92"/>
                  <a:pt x="49" y="86"/>
                  <a:pt x="51" y="79"/>
                </a:cubicBezTo>
                <a:cubicBezTo>
                  <a:pt x="54" y="56"/>
                  <a:pt x="69" y="42"/>
                  <a:pt x="90" y="42"/>
                </a:cubicBezTo>
                <a:cubicBezTo>
                  <a:pt x="112" y="42"/>
                  <a:pt x="125" y="57"/>
                  <a:pt x="128" y="80"/>
                </a:cubicBezTo>
                <a:lnTo>
                  <a:pt x="61" y="80"/>
                </a:lnTo>
                <a:cubicBezTo>
                  <a:pt x="61" y="80"/>
                  <a:pt x="59" y="112"/>
                  <a:pt x="88" y="112"/>
                </a:cubicBezTo>
                <a:lnTo>
                  <a:pt x="178" y="112"/>
                </a:lnTo>
                <a:cubicBezTo>
                  <a:pt x="178" y="108"/>
                  <a:pt x="178" y="104"/>
                  <a:pt x="178" y="99"/>
                </a:cubicBezTo>
                <a:cubicBezTo>
                  <a:pt x="178" y="47"/>
                  <a:pt x="151" y="0"/>
                  <a:pt x="90" y="0"/>
                </a:cubicBezTo>
              </a:path>
            </a:pathLst>
          </a:custGeom>
          <a:solidFill>
            <a:srgbClr val="5E6A71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round/>
                <a:headEnd/>
                <a:tailEnd/>
              </a14:hiddenLine>
            </a:ext>
          </a:extLst>
        </xdr:spPr>
        <xdr:txBody>
          <a:bodyPr wrap="square"/>
          <a:lstStyle>
            <a:defPPr>
              <a:defRPr lang="en-AU"/>
            </a:defPPr>
            <a:lvl1pPr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1pPr>
            <a:lvl2pPr marL="4572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2pPr>
            <a:lvl3pPr marL="9144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3pPr>
            <a:lvl4pPr marL="13716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4pPr>
            <a:lvl5pPr marL="1828800" algn="l" rtl="0" fontAlgn="base">
              <a:spcBef>
                <a:spcPct val="0"/>
              </a:spcBef>
              <a:spcAft>
                <a:spcPct val="0"/>
              </a:spcAft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5pPr>
            <a:lvl6pPr marL="22860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6pPr>
            <a:lvl7pPr marL="27432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7pPr>
            <a:lvl8pPr marL="32004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8pPr>
            <a:lvl9pPr marL="3657600" algn="l" defTabSz="914400" rtl="0" eaLnBrk="1" latinLnBrk="0" hangingPunct="1">
              <a:defRPr kern="1200">
                <a:solidFill>
                  <a:schemeClr val="tx1"/>
                </a:solidFill>
                <a:latin typeface="Arial" charset="0"/>
                <a:ea typeface="+mn-ea"/>
                <a:cs typeface="+mn-cs"/>
              </a:defRPr>
            </a:lvl9pPr>
          </a:lstStyle>
          <a:p>
            <a:endParaRPr lang="en-AU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388620</xdr:colOff>
      <xdr:row>24</xdr:row>
      <xdr:rowOff>7620</xdr:rowOff>
    </xdr:from>
    <xdr:to>
      <xdr:col>15</xdr:col>
      <xdr:colOff>175260</xdr:colOff>
      <xdr:row>31</xdr:row>
      <xdr:rowOff>30480</xdr:rowOff>
    </xdr:to>
    <xdr:grpSp>
      <xdr:nvGrpSpPr>
        <xdr:cNvPr id="284019" name="Group 63"/>
        <xdr:cNvGrpSpPr>
          <a:grpSpLocks/>
        </xdr:cNvGrpSpPr>
      </xdr:nvGrpSpPr>
      <xdr:grpSpPr bwMode="auto">
        <a:xfrm>
          <a:off x="9736727" y="4538799"/>
          <a:ext cx="398962" cy="1206681"/>
          <a:chOff x="4483337" y="4876172"/>
          <a:chExt cx="401549" cy="1103055"/>
        </a:xfrm>
      </xdr:grpSpPr>
      <xdr:sp macro="" textlink="">
        <xdr:nvSpPr>
          <xdr:cNvPr id="65" name="Freeform 64"/>
          <xdr:cNvSpPr/>
        </xdr:nvSpPr>
        <xdr:spPr>
          <a:xfrm>
            <a:off x="4483337" y="4876172"/>
            <a:ext cx="401549" cy="854685"/>
          </a:xfrm>
          <a:custGeom>
            <a:avLst/>
            <a:gdLst>
              <a:gd name="connsiteX0" fmla="*/ 212858 w 403402"/>
              <a:gd name="connsiteY0" fmla="*/ 0 h 771525"/>
              <a:gd name="connsiteX1" fmla="*/ 212858 w 403402"/>
              <a:gd name="connsiteY1" fmla="*/ 161925 h 771525"/>
              <a:gd name="connsiteX2" fmla="*/ 3308 w 403402"/>
              <a:gd name="connsiteY2" fmla="*/ 238125 h 771525"/>
              <a:gd name="connsiteX3" fmla="*/ 403358 w 403402"/>
              <a:gd name="connsiteY3" fmla="*/ 295275 h 771525"/>
              <a:gd name="connsiteX4" fmla="*/ 31883 w 403402"/>
              <a:gd name="connsiteY4" fmla="*/ 390525 h 771525"/>
              <a:gd name="connsiteX5" fmla="*/ 403358 w 403402"/>
              <a:gd name="connsiteY5" fmla="*/ 476250 h 771525"/>
              <a:gd name="connsiteX6" fmla="*/ 41408 w 403402"/>
              <a:gd name="connsiteY6" fmla="*/ 561975 h 771525"/>
              <a:gd name="connsiteX7" fmla="*/ 222383 w 403402"/>
              <a:gd name="connsiteY7" fmla="*/ 657225 h 771525"/>
              <a:gd name="connsiteX8" fmla="*/ 212858 w 403402"/>
              <a:gd name="connsiteY8" fmla="*/ 771525 h 771525"/>
              <a:gd name="connsiteX0" fmla="*/ 212858 w 403402"/>
              <a:gd name="connsiteY0" fmla="*/ 0 h 771525"/>
              <a:gd name="connsiteX1" fmla="*/ 212858 w 403402"/>
              <a:gd name="connsiteY1" fmla="*/ 161925 h 771525"/>
              <a:gd name="connsiteX2" fmla="*/ 3308 w 403402"/>
              <a:gd name="connsiteY2" fmla="*/ 238125 h 771525"/>
              <a:gd name="connsiteX3" fmla="*/ 403358 w 403402"/>
              <a:gd name="connsiteY3" fmla="*/ 295275 h 771525"/>
              <a:gd name="connsiteX4" fmla="*/ 31883 w 403402"/>
              <a:gd name="connsiteY4" fmla="*/ 390525 h 771525"/>
              <a:gd name="connsiteX5" fmla="*/ 403358 w 403402"/>
              <a:gd name="connsiteY5" fmla="*/ 476250 h 771525"/>
              <a:gd name="connsiteX6" fmla="*/ 41408 w 403402"/>
              <a:gd name="connsiteY6" fmla="*/ 561975 h 771525"/>
              <a:gd name="connsiteX7" fmla="*/ 222383 w 403402"/>
              <a:gd name="connsiteY7" fmla="*/ 657225 h 771525"/>
              <a:gd name="connsiteX8" fmla="*/ 212858 w 403402"/>
              <a:gd name="connsiteY8" fmla="*/ 771525 h 771525"/>
              <a:gd name="connsiteX0" fmla="*/ 212484 w 403028"/>
              <a:gd name="connsiteY0" fmla="*/ 0 h 771525"/>
              <a:gd name="connsiteX1" fmla="*/ 212484 w 403028"/>
              <a:gd name="connsiteY1" fmla="*/ 161925 h 771525"/>
              <a:gd name="connsiteX2" fmla="*/ 2934 w 403028"/>
              <a:gd name="connsiteY2" fmla="*/ 238125 h 771525"/>
              <a:gd name="connsiteX3" fmla="*/ 402984 w 403028"/>
              <a:gd name="connsiteY3" fmla="*/ 295275 h 771525"/>
              <a:gd name="connsiteX4" fmla="*/ 31509 w 403028"/>
              <a:gd name="connsiteY4" fmla="*/ 390525 h 771525"/>
              <a:gd name="connsiteX5" fmla="*/ 402984 w 403028"/>
              <a:gd name="connsiteY5" fmla="*/ 476250 h 771525"/>
              <a:gd name="connsiteX6" fmla="*/ 41034 w 403028"/>
              <a:gd name="connsiteY6" fmla="*/ 561975 h 771525"/>
              <a:gd name="connsiteX7" fmla="*/ 222009 w 403028"/>
              <a:gd name="connsiteY7" fmla="*/ 657225 h 771525"/>
              <a:gd name="connsiteX8" fmla="*/ 212484 w 403028"/>
              <a:gd name="connsiteY8" fmla="*/ 771525 h 771525"/>
              <a:gd name="connsiteX0" fmla="*/ 212484 w 403078"/>
              <a:gd name="connsiteY0" fmla="*/ 0 h 771525"/>
              <a:gd name="connsiteX1" fmla="*/ 212484 w 403078"/>
              <a:gd name="connsiteY1" fmla="*/ 161925 h 771525"/>
              <a:gd name="connsiteX2" fmla="*/ 2934 w 403078"/>
              <a:gd name="connsiteY2" fmla="*/ 238125 h 771525"/>
              <a:gd name="connsiteX3" fmla="*/ 402984 w 403078"/>
              <a:gd name="connsiteY3" fmla="*/ 295275 h 771525"/>
              <a:gd name="connsiteX4" fmla="*/ 1566 w 403078"/>
              <a:gd name="connsiteY4" fmla="*/ 396515 h 771525"/>
              <a:gd name="connsiteX5" fmla="*/ 402984 w 403078"/>
              <a:gd name="connsiteY5" fmla="*/ 476250 h 771525"/>
              <a:gd name="connsiteX6" fmla="*/ 41034 w 403078"/>
              <a:gd name="connsiteY6" fmla="*/ 561975 h 771525"/>
              <a:gd name="connsiteX7" fmla="*/ 222009 w 403078"/>
              <a:gd name="connsiteY7" fmla="*/ 657225 h 771525"/>
              <a:gd name="connsiteX8" fmla="*/ 212484 w 403078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22009 w 403011"/>
              <a:gd name="connsiteY7" fmla="*/ 657225 h 771525"/>
              <a:gd name="connsiteX8" fmla="*/ 212484 w 403011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22009 w 403011"/>
              <a:gd name="connsiteY7" fmla="*/ 657225 h 771525"/>
              <a:gd name="connsiteX8" fmla="*/ 212484 w 403011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22009 w 403011"/>
              <a:gd name="connsiteY7" fmla="*/ 657225 h 771525"/>
              <a:gd name="connsiteX8" fmla="*/ 212484 w 403011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04043 w 403011"/>
              <a:gd name="connsiteY7" fmla="*/ 657225 h 771525"/>
              <a:gd name="connsiteX8" fmla="*/ 212484 w 403011"/>
              <a:gd name="connsiteY8" fmla="*/ 771525 h 771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403011" h="771525">
                <a:moveTo>
                  <a:pt x="212484" y="0"/>
                </a:moveTo>
                <a:cubicBezTo>
                  <a:pt x="205992" y="61119"/>
                  <a:pt x="217468" y="152189"/>
                  <a:pt x="212484" y="161925"/>
                </a:cubicBezTo>
                <a:cubicBezTo>
                  <a:pt x="207500" y="171661"/>
                  <a:pt x="-28816" y="215900"/>
                  <a:pt x="2934" y="238125"/>
                </a:cubicBezTo>
                <a:cubicBezTo>
                  <a:pt x="34684" y="260350"/>
                  <a:pt x="403212" y="268877"/>
                  <a:pt x="402984" y="295275"/>
                </a:cubicBezTo>
                <a:cubicBezTo>
                  <a:pt x="402756" y="321673"/>
                  <a:pt x="1566" y="366353"/>
                  <a:pt x="1566" y="396515"/>
                </a:cubicBezTo>
                <a:cubicBezTo>
                  <a:pt x="1566" y="426677"/>
                  <a:pt x="399400" y="449672"/>
                  <a:pt x="402984" y="476250"/>
                </a:cubicBezTo>
                <a:cubicBezTo>
                  <a:pt x="406568" y="502828"/>
                  <a:pt x="56225" y="525823"/>
                  <a:pt x="23068" y="555985"/>
                </a:cubicBezTo>
                <a:cubicBezTo>
                  <a:pt x="-10089" y="586147"/>
                  <a:pt x="196428" y="615312"/>
                  <a:pt x="204043" y="657225"/>
                </a:cubicBezTo>
                <a:cubicBezTo>
                  <a:pt x="211658" y="699138"/>
                  <a:pt x="207580" y="725847"/>
                  <a:pt x="212484" y="771525"/>
                </a:cubicBezTo>
              </a:path>
            </a:pathLst>
          </a:cu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grpSp>
        <xdr:nvGrpSpPr>
          <xdr:cNvPr id="284054" name="Group 65"/>
          <xdr:cNvGrpSpPr>
            <a:grpSpLocks/>
          </xdr:cNvGrpSpPr>
        </xdr:nvGrpSpPr>
        <xdr:grpSpPr bwMode="auto">
          <a:xfrm>
            <a:off x="4579784" y="5647319"/>
            <a:ext cx="244995" cy="331908"/>
            <a:chOff x="1627034" y="5390876"/>
            <a:chExt cx="244995" cy="331908"/>
          </a:xfrm>
        </xdr:grpSpPr>
        <xdr:cxnSp macro="">
          <xdr:nvCxnSpPr>
            <xdr:cNvPr id="67" name="Straight Connector 66"/>
            <xdr:cNvCxnSpPr/>
          </xdr:nvCxnSpPr>
          <xdr:spPr>
            <a:xfrm>
              <a:off x="1664437" y="5635124"/>
              <a:ext cx="163594" cy="0"/>
            </a:xfrm>
            <a:prstGeom prst="line">
              <a:avLst/>
            </a:prstGeom>
          </xdr:spPr>
          <xdr:style>
            <a:lnRef idx="2">
              <a:schemeClr val="accent1"/>
            </a:lnRef>
            <a:fillRef idx="0">
              <a:schemeClr val="accent1"/>
            </a:fillRef>
            <a:effectRef idx="1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8" name="Straight Connector 67"/>
            <xdr:cNvCxnSpPr/>
          </xdr:nvCxnSpPr>
          <xdr:spPr>
            <a:xfrm>
              <a:off x="1701617" y="5722784"/>
              <a:ext cx="96669" cy="0"/>
            </a:xfrm>
            <a:prstGeom prst="line">
              <a:avLst/>
            </a:prstGeom>
          </xdr:spPr>
          <xdr:style>
            <a:lnRef idx="2">
              <a:schemeClr val="accent1"/>
            </a:lnRef>
            <a:fillRef idx="0">
              <a:schemeClr val="accent1"/>
            </a:fillRef>
            <a:effectRef idx="1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69" name="Straight Connector 68"/>
            <xdr:cNvCxnSpPr/>
          </xdr:nvCxnSpPr>
          <xdr:spPr>
            <a:xfrm>
              <a:off x="1738798" y="5394059"/>
              <a:ext cx="0" cy="160710"/>
            </a:xfrm>
            <a:prstGeom prst="line">
              <a:avLst/>
            </a:prstGeom>
          </xdr:spPr>
          <xdr:style>
            <a:lnRef idx="2">
              <a:schemeClr val="accent1"/>
            </a:lnRef>
            <a:fillRef idx="0">
              <a:schemeClr val="accent1"/>
            </a:fillRef>
            <a:effectRef idx="1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70" name="Straight Connector 69"/>
            <xdr:cNvCxnSpPr/>
          </xdr:nvCxnSpPr>
          <xdr:spPr>
            <a:xfrm>
              <a:off x="1627256" y="5554769"/>
              <a:ext cx="245391" cy="0"/>
            </a:xfrm>
            <a:prstGeom prst="line">
              <a:avLst/>
            </a:prstGeom>
          </xdr:spPr>
          <xdr:style>
            <a:lnRef idx="2">
              <a:schemeClr val="accent1"/>
            </a:lnRef>
            <a:fillRef idx="0">
              <a:schemeClr val="accent1"/>
            </a:fillRef>
            <a:effectRef idx="1">
              <a:schemeClr val="accent1"/>
            </a:effectRef>
            <a:fontRef idx="minor">
              <a:schemeClr val="tx1"/>
            </a:fontRef>
          </xdr:style>
        </xdr:cxnSp>
      </xdr:grpSp>
    </xdr:grpSp>
    <xdr:clientData/>
  </xdr:twoCellAnchor>
  <xdr:twoCellAnchor>
    <xdr:from>
      <xdr:col>7</xdr:col>
      <xdr:colOff>456175</xdr:colOff>
      <xdr:row>23</xdr:row>
      <xdr:rowOff>3514</xdr:rowOff>
    </xdr:from>
    <xdr:to>
      <xdr:col>10</xdr:col>
      <xdr:colOff>485985</xdr:colOff>
      <xdr:row>34</xdr:row>
      <xdr:rowOff>95270</xdr:rowOff>
    </xdr:to>
    <xdr:sp macro="" textlink="">
      <xdr:nvSpPr>
        <xdr:cNvPr id="77" name="Rounded Rectangle 76"/>
        <xdr:cNvSpPr/>
      </xdr:nvSpPr>
      <xdr:spPr>
        <a:xfrm>
          <a:off x="4843097" y="3969724"/>
          <a:ext cx="1852243" cy="1818545"/>
        </a:xfrm>
        <a:prstGeom prst="roundRect">
          <a:avLst/>
        </a:prstGeom>
        <a:noFill/>
        <a:ln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AU"/>
        </a:p>
      </xdr:txBody>
    </xdr:sp>
    <xdr:clientData/>
  </xdr:twoCellAnchor>
  <xdr:twoCellAnchor>
    <xdr:from>
      <xdr:col>11</xdr:col>
      <xdr:colOff>164710</xdr:colOff>
      <xdr:row>23</xdr:row>
      <xdr:rowOff>4392</xdr:rowOff>
    </xdr:from>
    <xdr:to>
      <xdr:col>14</xdr:col>
      <xdr:colOff>128411</xdr:colOff>
      <xdr:row>34</xdr:row>
      <xdr:rowOff>101111</xdr:rowOff>
    </xdr:to>
    <xdr:sp macro="" textlink="">
      <xdr:nvSpPr>
        <xdr:cNvPr id="78" name="Rounded Rectangle 77"/>
        <xdr:cNvSpPr/>
      </xdr:nvSpPr>
      <xdr:spPr>
        <a:xfrm>
          <a:off x="6989885" y="3975584"/>
          <a:ext cx="1619251" cy="1818546"/>
        </a:xfrm>
        <a:prstGeom prst="roundRect">
          <a:avLst/>
        </a:prstGeom>
        <a:noFill/>
        <a:ln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AU"/>
        </a:p>
      </xdr:txBody>
    </xdr:sp>
    <xdr:clientData/>
  </xdr:twoCellAnchor>
  <xdr:twoCellAnchor>
    <xdr:from>
      <xdr:col>14</xdr:col>
      <xdr:colOff>211310</xdr:colOff>
      <xdr:row>23</xdr:row>
      <xdr:rowOff>10253</xdr:rowOff>
    </xdr:from>
    <xdr:to>
      <xdr:col>17</xdr:col>
      <xdr:colOff>165062</xdr:colOff>
      <xdr:row>34</xdr:row>
      <xdr:rowOff>106972</xdr:rowOff>
    </xdr:to>
    <xdr:sp macro="" textlink="">
      <xdr:nvSpPr>
        <xdr:cNvPr id="85" name="Rounded Rectangle 84"/>
        <xdr:cNvSpPr/>
      </xdr:nvSpPr>
      <xdr:spPr>
        <a:xfrm>
          <a:off x="8688267" y="3981445"/>
          <a:ext cx="1781906" cy="1818546"/>
        </a:xfrm>
        <a:prstGeom prst="roundRect">
          <a:avLst/>
        </a:prstGeom>
        <a:noFill/>
        <a:ln>
          <a:prstDash val="sysDot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AU"/>
        </a:p>
      </xdr:txBody>
    </xdr:sp>
    <xdr:clientData/>
  </xdr:twoCellAnchor>
  <xdr:twoCellAnchor>
    <xdr:from>
      <xdr:col>1</xdr:col>
      <xdr:colOff>579120</xdr:colOff>
      <xdr:row>7</xdr:row>
      <xdr:rowOff>114300</xdr:rowOff>
    </xdr:from>
    <xdr:to>
      <xdr:col>10</xdr:col>
      <xdr:colOff>205740</xdr:colOff>
      <xdr:row>31</xdr:row>
      <xdr:rowOff>99060</xdr:rowOff>
    </xdr:to>
    <xdr:grpSp>
      <xdr:nvGrpSpPr>
        <xdr:cNvPr id="284023" name="Group 5"/>
        <xdr:cNvGrpSpPr>
          <a:grpSpLocks/>
        </xdr:cNvGrpSpPr>
      </xdr:nvGrpSpPr>
      <xdr:grpSpPr bwMode="auto">
        <a:xfrm>
          <a:off x="1422763" y="1434193"/>
          <a:ext cx="5532120" cy="4379867"/>
          <a:chOff x="1173133" y="1361923"/>
          <a:chExt cx="5265061" cy="4258284"/>
        </a:xfrm>
      </xdr:grpSpPr>
      <xdr:cxnSp macro="">
        <xdr:nvCxnSpPr>
          <xdr:cNvPr id="9" name="Straight Connector 8"/>
          <xdr:cNvCxnSpPr>
            <a:endCxn id="2" idx="4"/>
          </xdr:cNvCxnSpPr>
        </xdr:nvCxnSpPr>
        <xdr:spPr>
          <a:xfrm flipH="1" flipV="1">
            <a:off x="1817381" y="3745636"/>
            <a:ext cx="0" cy="64800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1" name="Straight Connector 30"/>
          <xdr:cNvCxnSpPr>
            <a:stCxn id="2" idx="0"/>
          </xdr:cNvCxnSpPr>
        </xdr:nvCxnSpPr>
        <xdr:spPr>
          <a:xfrm flipV="1">
            <a:off x="1817381" y="1624209"/>
            <a:ext cx="0" cy="840857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" name="Freeform 6"/>
          <xdr:cNvSpPr/>
        </xdr:nvSpPr>
        <xdr:spPr>
          <a:xfrm rot="5400000">
            <a:off x="3025945" y="1219701"/>
            <a:ext cx="478286" cy="762730"/>
          </a:xfrm>
          <a:custGeom>
            <a:avLst/>
            <a:gdLst>
              <a:gd name="connsiteX0" fmla="*/ 212858 w 403402"/>
              <a:gd name="connsiteY0" fmla="*/ 0 h 771525"/>
              <a:gd name="connsiteX1" fmla="*/ 212858 w 403402"/>
              <a:gd name="connsiteY1" fmla="*/ 161925 h 771525"/>
              <a:gd name="connsiteX2" fmla="*/ 3308 w 403402"/>
              <a:gd name="connsiteY2" fmla="*/ 238125 h 771525"/>
              <a:gd name="connsiteX3" fmla="*/ 403358 w 403402"/>
              <a:gd name="connsiteY3" fmla="*/ 295275 h 771525"/>
              <a:gd name="connsiteX4" fmla="*/ 31883 w 403402"/>
              <a:gd name="connsiteY4" fmla="*/ 390525 h 771525"/>
              <a:gd name="connsiteX5" fmla="*/ 403358 w 403402"/>
              <a:gd name="connsiteY5" fmla="*/ 476250 h 771525"/>
              <a:gd name="connsiteX6" fmla="*/ 41408 w 403402"/>
              <a:gd name="connsiteY6" fmla="*/ 561975 h 771525"/>
              <a:gd name="connsiteX7" fmla="*/ 222383 w 403402"/>
              <a:gd name="connsiteY7" fmla="*/ 657225 h 771525"/>
              <a:gd name="connsiteX8" fmla="*/ 212858 w 403402"/>
              <a:gd name="connsiteY8" fmla="*/ 771525 h 771525"/>
              <a:gd name="connsiteX0" fmla="*/ 212858 w 403402"/>
              <a:gd name="connsiteY0" fmla="*/ 0 h 771525"/>
              <a:gd name="connsiteX1" fmla="*/ 212858 w 403402"/>
              <a:gd name="connsiteY1" fmla="*/ 161925 h 771525"/>
              <a:gd name="connsiteX2" fmla="*/ 3308 w 403402"/>
              <a:gd name="connsiteY2" fmla="*/ 238125 h 771525"/>
              <a:gd name="connsiteX3" fmla="*/ 403358 w 403402"/>
              <a:gd name="connsiteY3" fmla="*/ 295275 h 771525"/>
              <a:gd name="connsiteX4" fmla="*/ 31883 w 403402"/>
              <a:gd name="connsiteY4" fmla="*/ 390525 h 771525"/>
              <a:gd name="connsiteX5" fmla="*/ 403358 w 403402"/>
              <a:gd name="connsiteY5" fmla="*/ 476250 h 771525"/>
              <a:gd name="connsiteX6" fmla="*/ 41408 w 403402"/>
              <a:gd name="connsiteY6" fmla="*/ 561975 h 771525"/>
              <a:gd name="connsiteX7" fmla="*/ 222383 w 403402"/>
              <a:gd name="connsiteY7" fmla="*/ 657225 h 771525"/>
              <a:gd name="connsiteX8" fmla="*/ 212858 w 403402"/>
              <a:gd name="connsiteY8" fmla="*/ 771525 h 771525"/>
              <a:gd name="connsiteX0" fmla="*/ 212484 w 403028"/>
              <a:gd name="connsiteY0" fmla="*/ 0 h 771525"/>
              <a:gd name="connsiteX1" fmla="*/ 212484 w 403028"/>
              <a:gd name="connsiteY1" fmla="*/ 161925 h 771525"/>
              <a:gd name="connsiteX2" fmla="*/ 2934 w 403028"/>
              <a:gd name="connsiteY2" fmla="*/ 238125 h 771525"/>
              <a:gd name="connsiteX3" fmla="*/ 402984 w 403028"/>
              <a:gd name="connsiteY3" fmla="*/ 295275 h 771525"/>
              <a:gd name="connsiteX4" fmla="*/ 31509 w 403028"/>
              <a:gd name="connsiteY4" fmla="*/ 390525 h 771525"/>
              <a:gd name="connsiteX5" fmla="*/ 402984 w 403028"/>
              <a:gd name="connsiteY5" fmla="*/ 476250 h 771525"/>
              <a:gd name="connsiteX6" fmla="*/ 41034 w 403028"/>
              <a:gd name="connsiteY6" fmla="*/ 561975 h 771525"/>
              <a:gd name="connsiteX7" fmla="*/ 222009 w 403028"/>
              <a:gd name="connsiteY7" fmla="*/ 657225 h 771525"/>
              <a:gd name="connsiteX8" fmla="*/ 212484 w 403028"/>
              <a:gd name="connsiteY8" fmla="*/ 771525 h 771525"/>
              <a:gd name="connsiteX0" fmla="*/ 212484 w 403078"/>
              <a:gd name="connsiteY0" fmla="*/ 0 h 771525"/>
              <a:gd name="connsiteX1" fmla="*/ 212484 w 403078"/>
              <a:gd name="connsiteY1" fmla="*/ 161925 h 771525"/>
              <a:gd name="connsiteX2" fmla="*/ 2934 w 403078"/>
              <a:gd name="connsiteY2" fmla="*/ 238125 h 771525"/>
              <a:gd name="connsiteX3" fmla="*/ 402984 w 403078"/>
              <a:gd name="connsiteY3" fmla="*/ 295275 h 771525"/>
              <a:gd name="connsiteX4" fmla="*/ 1566 w 403078"/>
              <a:gd name="connsiteY4" fmla="*/ 396515 h 771525"/>
              <a:gd name="connsiteX5" fmla="*/ 402984 w 403078"/>
              <a:gd name="connsiteY5" fmla="*/ 476250 h 771525"/>
              <a:gd name="connsiteX6" fmla="*/ 41034 w 403078"/>
              <a:gd name="connsiteY6" fmla="*/ 561975 h 771525"/>
              <a:gd name="connsiteX7" fmla="*/ 222009 w 403078"/>
              <a:gd name="connsiteY7" fmla="*/ 657225 h 771525"/>
              <a:gd name="connsiteX8" fmla="*/ 212484 w 403078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22009 w 403011"/>
              <a:gd name="connsiteY7" fmla="*/ 657225 h 771525"/>
              <a:gd name="connsiteX8" fmla="*/ 212484 w 403011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22009 w 403011"/>
              <a:gd name="connsiteY7" fmla="*/ 657225 h 771525"/>
              <a:gd name="connsiteX8" fmla="*/ 212484 w 403011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22009 w 403011"/>
              <a:gd name="connsiteY7" fmla="*/ 657225 h 771525"/>
              <a:gd name="connsiteX8" fmla="*/ 212484 w 403011"/>
              <a:gd name="connsiteY8" fmla="*/ 771525 h 771525"/>
              <a:gd name="connsiteX0" fmla="*/ 212484 w 403011"/>
              <a:gd name="connsiteY0" fmla="*/ 0 h 771525"/>
              <a:gd name="connsiteX1" fmla="*/ 212484 w 403011"/>
              <a:gd name="connsiteY1" fmla="*/ 161925 h 771525"/>
              <a:gd name="connsiteX2" fmla="*/ 2934 w 403011"/>
              <a:gd name="connsiteY2" fmla="*/ 238125 h 771525"/>
              <a:gd name="connsiteX3" fmla="*/ 402984 w 403011"/>
              <a:gd name="connsiteY3" fmla="*/ 295275 h 771525"/>
              <a:gd name="connsiteX4" fmla="*/ 1566 w 403011"/>
              <a:gd name="connsiteY4" fmla="*/ 396515 h 771525"/>
              <a:gd name="connsiteX5" fmla="*/ 402984 w 403011"/>
              <a:gd name="connsiteY5" fmla="*/ 476250 h 771525"/>
              <a:gd name="connsiteX6" fmla="*/ 23068 w 403011"/>
              <a:gd name="connsiteY6" fmla="*/ 555985 h 771525"/>
              <a:gd name="connsiteX7" fmla="*/ 204043 w 403011"/>
              <a:gd name="connsiteY7" fmla="*/ 657225 h 771525"/>
              <a:gd name="connsiteX8" fmla="*/ 212484 w 403011"/>
              <a:gd name="connsiteY8" fmla="*/ 771525 h 771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  <a:cxn ang="0">
                <a:pos x="connsiteX5" y="connsiteY5"/>
              </a:cxn>
              <a:cxn ang="0">
                <a:pos x="connsiteX6" y="connsiteY6"/>
              </a:cxn>
              <a:cxn ang="0">
                <a:pos x="connsiteX7" y="connsiteY7"/>
              </a:cxn>
              <a:cxn ang="0">
                <a:pos x="connsiteX8" y="connsiteY8"/>
              </a:cxn>
            </a:cxnLst>
            <a:rect l="l" t="t" r="r" b="b"/>
            <a:pathLst>
              <a:path w="403011" h="771525">
                <a:moveTo>
                  <a:pt x="212484" y="0"/>
                </a:moveTo>
                <a:cubicBezTo>
                  <a:pt x="205992" y="61119"/>
                  <a:pt x="217468" y="152189"/>
                  <a:pt x="212484" y="161925"/>
                </a:cubicBezTo>
                <a:cubicBezTo>
                  <a:pt x="207500" y="171661"/>
                  <a:pt x="-28816" y="215900"/>
                  <a:pt x="2934" y="238125"/>
                </a:cubicBezTo>
                <a:cubicBezTo>
                  <a:pt x="34684" y="260350"/>
                  <a:pt x="403212" y="268877"/>
                  <a:pt x="402984" y="295275"/>
                </a:cubicBezTo>
                <a:cubicBezTo>
                  <a:pt x="402756" y="321673"/>
                  <a:pt x="1566" y="366353"/>
                  <a:pt x="1566" y="396515"/>
                </a:cubicBezTo>
                <a:cubicBezTo>
                  <a:pt x="1566" y="426677"/>
                  <a:pt x="399400" y="449672"/>
                  <a:pt x="402984" y="476250"/>
                </a:cubicBezTo>
                <a:cubicBezTo>
                  <a:pt x="406568" y="502828"/>
                  <a:pt x="56225" y="525823"/>
                  <a:pt x="23068" y="555985"/>
                </a:cubicBezTo>
                <a:cubicBezTo>
                  <a:pt x="-10089" y="586147"/>
                  <a:pt x="196428" y="615312"/>
                  <a:pt x="204043" y="657225"/>
                </a:cubicBezTo>
                <a:cubicBezTo>
                  <a:pt x="211658" y="699138"/>
                  <a:pt x="207580" y="725847"/>
                  <a:pt x="212484" y="771525"/>
                </a:cubicBezTo>
              </a:path>
            </a:pathLst>
          </a:cu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sp macro="" textlink="">
        <xdr:nvSpPr>
          <xdr:cNvPr id="2" name="Oval 1"/>
          <xdr:cNvSpPr/>
        </xdr:nvSpPr>
        <xdr:spPr>
          <a:xfrm>
            <a:off x="1173133" y="2465065"/>
            <a:ext cx="1288496" cy="1280571"/>
          </a:xfrm>
          <a:prstGeom prst="ellipse">
            <a:avLst/>
          </a:prstGeom>
        </xdr:spPr>
        <xdr:style>
          <a:lnRef idx="2">
            <a:schemeClr val="accent6">
              <a:shade val="50000"/>
            </a:schemeClr>
          </a:lnRef>
          <a:fillRef idx="1">
            <a:schemeClr val="accent6"/>
          </a:fillRef>
          <a:effectRef idx="0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sp macro="" textlink="">
        <xdr:nvSpPr>
          <xdr:cNvPr id="3" name="Freeform 2"/>
          <xdr:cNvSpPr/>
        </xdr:nvSpPr>
        <xdr:spPr>
          <a:xfrm>
            <a:off x="1306426" y="2758208"/>
            <a:ext cx="970075" cy="748285"/>
          </a:xfrm>
          <a:custGeom>
            <a:avLst/>
            <a:gdLst>
              <a:gd name="connsiteX0" fmla="*/ 0 w 790575"/>
              <a:gd name="connsiteY0" fmla="*/ 614798 h 927328"/>
              <a:gd name="connsiteX1" fmla="*/ 200025 w 790575"/>
              <a:gd name="connsiteY1" fmla="*/ 5198 h 927328"/>
              <a:gd name="connsiteX2" fmla="*/ 590550 w 790575"/>
              <a:gd name="connsiteY2" fmla="*/ 919598 h 927328"/>
              <a:gd name="connsiteX3" fmla="*/ 790575 w 790575"/>
              <a:gd name="connsiteY3" fmla="*/ 414773 h 927328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</a:cxnLst>
            <a:rect l="l" t="t" r="r" b="b"/>
            <a:pathLst>
              <a:path w="790575" h="927328">
                <a:moveTo>
                  <a:pt x="0" y="614798"/>
                </a:moveTo>
                <a:cubicBezTo>
                  <a:pt x="50800" y="284598"/>
                  <a:pt x="101600" y="-45602"/>
                  <a:pt x="200025" y="5198"/>
                </a:cubicBezTo>
                <a:cubicBezTo>
                  <a:pt x="298450" y="55998"/>
                  <a:pt x="492125" y="851335"/>
                  <a:pt x="590550" y="919598"/>
                </a:cubicBezTo>
                <a:cubicBezTo>
                  <a:pt x="688975" y="987861"/>
                  <a:pt x="755650" y="586223"/>
                  <a:pt x="790575" y="414773"/>
                </a:cubicBezTo>
              </a:path>
            </a:pathLst>
          </a:cu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cxnSp macro="">
        <xdr:nvCxnSpPr>
          <xdr:cNvPr id="35" name="Straight Connector 34"/>
          <xdr:cNvCxnSpPr/>
        </xdr:nvCxnSpPr>
        <xdr:spPr>
          <a:xfrm>
            <a:off x="1824786" y="1616494"/>
            <a:ext cx="1058936" cy="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Straight Connector 39"/>
          <xdr:cNvCxnSpPr/>
        </xdr:nvCxnSpPr>
        <xdr:spPr>
          <a:xfrm flipV="1">
            <a:off x="3646453" y="1616494"/>
            <a:ext cx="2621423" cy="0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grpSp>
        <xdr:nvGrpSpPr>
          <xdr:cNvPr id="284033" name="Group 49"/>
          <xdr:cNvGrpSpPr>
            <a:grpSpLocks/>
          </xdr:cNvGrpSpPr>
        </xdr:nvGrpSpPr>
        <xdr:grpSpPr bwMode="auto">
          <a:xfrm>
            <a:off x="6036645" y="4381605"/>
            <a:ext cx="401549" cy="1179988"/>
            <a:chOff x="4483337" y="4876172"/>
            <a:chExt cx="401549" cy="1103055"/>
          </a:xfrm>
        </xdr:grpSpPr>
        <xdr:sp macro="" textlink="">
          <xdr:nvSpPr>
            <xdr:cNvPr id="33" name="Freeform 32"/>
            <xdr:cNvSpPr/>
          </xdr:nvSpPr>
          <xdr:spPr>
            <a:xfrm>
              <a:off x="4485008" y="4880207"/>
              <a:ext cx="399878" cy="850937"/>
            </a:xfrm>
            <a:custGeom>
              <a:avLst/>
              <a:gdLst>
                <a:gd name="connsiteX0" fmla="*/ 212858 w 403402"/>
                <a:gd name="connsiteY0" fmla="*/ 0 h 771525"/>
                <a:gd name="connsiteX1" fmla="*/ 212858 w 403402"/>
                <a:gd name="connsiteY1" fmla="*/ 161925 h 771525"/>
                <a:gd name="connsiteX2" fmla="*/ 3308 w 403402"/>
                <a:gd name="connsiteY2" fmla="*/ 238125 h 771525"/>
                <a:gd name="connsiteX3" fmla="*/ 403358 w 403402"/>
                <a:gd name="connsiteY3" fmla="*/ 295275 h 771525"/>
                <a:gd name="connsiteX4" fmla="*/ 31883 w 403402"/>
                <a:gd name="connsiteY4" fmla="*/ 390525 h 771525"/>
                <a:gd name="connsiteX5" fmla="*/ 403358 w 403402"/>
                <a:gd name="connsiteY5" fmla="*/ 476250 h 771525"/>
                <a:gd name="connsiteX6" fmla="*/ 41408 w 403402"/>
                <a:gd name="connsiteY6" fmla="*/ 561975 h 771525"/>
                <a:gd name="connsiteX7" fmla="*/ 222383 w 403402"/>
                <a:gd name="connsiteY7" fmla="*/ 657225 h 771525"/>
                <a:gd name="connsiteX8" fmla="*/ 212858 w 403402"/>
                <a:gd name="connsiteY8" fmla="*/ 771525 h 771525"/>
                <a:gd name="connsiteX0" fmla="*/ 212858 w 403402"/>
                <a:gd name="connsiteY0" fmla="*/ 0 h 771525"/>
                <a:gd name="connsiteX1" fmla="*/ 212858 w 403402"/>
                <a:gd name="connsiteY1" fmla="*/ 161925 h 771525"/>
                <a:gd name="connsiteX2" fmla="*/ 3308 w 403402"/>
                <a:gd name="connsiteY2" fmla="*/ 238125 h 771525"/>
                <a:gd name="connsiteX3" fmla="*/ 403358 w 403402"/>
                <a:gd name="connsiteY3" fmla="*/ 295275 h 771525"/>
                <a:gd name="connsiteX4" fmla="*/ 31883 w 403402"/>
                <a:gd name="connsiteY4" fmla="*/ 390525 h 771525"/>
                <a:gd name="connsiteX5" fmla="*/ 403358 w 403402"/>
                <a:gd name="connsiteY5" fmla="*/ 476250 h 771525"/>
                <a:gd name="connsiteX6" fmla="*/ 41408 w 403402"/>
                <a:gd name="connsiteY6" fmla="*/ 561975 h 771525"/>
                <a:gd name="connsiteX7" fmla="*/ 222383 w 403402"/>
                <a:gd name="connsiteY7" fmla="*/ 657225 h 771525"/>
                <a:gd name="connsiteX8" fmla="*/ 212858 w 403402"/>
                <a:gd name="connsiteY8" fmla="*/ 771525 h 771525"/>
                <a:gd name="connsiteX0" fmla="*/ 212484 w 403028"/>
                <a:gd name="connsiteY0" fmla="*/ 0 h 771525"/>
                <a:gd name="connsiteX1" fmla="*/ 212484 w 403028"/>
                <a:gd name="connsiteY1" fmla="*/ 161925 h 771525"/>
                <a:gd name="connsiteX2" fmla="*/ 2934 w 403028"/>
                <a:gd name="connsiteY2" fmla="*/ 238125 h 771525"/>
                <a:gd name="connsiteX3" fmla="*/ 402984 w 403028"/>
                <a:gd name="connsiteY3" fmla="*/ 295275 h 771525"/>
                <a:gd name="connsiteX4" fmla="*/ 31509 w 403028"/>
                <a:gd name="connsiteY4" fmla="*/ 390525 h 771525"/>
                <a:gd name="connsiteX5" fmla="*/ 402984 w 403028"/>
                <a:gd name="connsiteY5" fmla="*/ 476250 h 771525"/>
                <a:gd name="connsiteX6" fmla="*/ 41034 w 403028"/>
                <a:gd name="connsiteY6" fmla="*/ 561975 h 771525"/>
                <a:gd name="connsiteX7" fmla="*/ 222009 w 403028"/>
                <a:gd name="connsiteY7" fmla="*/ 657225 h 771525"/>
                <a:gd name="connsiteX8" fmla="*/ 212484 w 403028"/>
                <a:gd name="connsiteY8" fmla="*/ 771525 h 771525"/>
                <a:gd name="connsiteX0" fmla="*/ 212484 w 403078"/>
                <a:gd name="connsiteY0" fmla="*/ 0 h 771525"/>
                <a:gd name="connsiteX1" fmla="*/ 212484 w 403078"/>
                <a:gd name="connsiteY1" fmla="*/ 161925 h 771525"/>
                <a:gd name="connsiteX2" fmla="*/ 2934 w 403078"/>
                <a:gd name="connsiteY2" fmla="*/ 238125 h 771525"/>
                <a:gd name="connsiteX3" fmla="*/ 402984 w 403078"/>
                <a:gd name="connsiteY3" fmla="*/ 295275 h 771525"/>
                <a:gd name="connsiteX4" fmla="*/ 1566 w 403078"/>
                <a:gd name="connsiteY4" fmla="*/ 396515 h 771525"/>
                <a:gd name="connsiteX5" fmla="*/ 402984 w 403078"/>
                <a:gd name="connsiteY5" fmla="*/ 476250 h 771525"/>
                <a:gd name="connsiteX6" fmla="*/ 41034 w 403078"/>
                <a:gd name="connsiteY6" fmla="*/ 561975 h 771525"/>
                <a:gd name="connsiteX7" fmla="*/ 222009 w 403078"/>
                <a:gd name="connsiteY7" fmla="*/ 657225 h 771525"/>
                <a:gd name="connsiteX8" fmla="*/ 212484 w 403078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22009 w 403011"/>
                <a:gd name="connsiteY7" fmla="*/ 657225 h 771525"/>
                <a:gd name="connsiteX8" fmla="*/ 212484 w 403011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22009 w 403011"/>
                <a:gd name="connsiteY7" fmla="*/ 657225 h 771525"/>
                <a:gd name="connsiteX8" fmla="*/ 212484 w 403011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22009 w 403011"/>
                <a:gd name="connsiteY7" fmla="*/ 657225 h 771525"/>
                <a:gd name="connsiteX8" fmla="*/ 212484 w 403011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04043 w 403011"/>
                <a:gd name="connsiteY7" fmla="*/ 657225 h 771525"/>
                <a:gd name="connsiteX8" fmla="*/ 212484 w 403011"/>
                <a:gd name="connsiteY8" fmla="*/ 771525 h 771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</a:cxnLst>
              <a:rect l="l" t="t" r="r" b="b"/>
              <a:pathLst>
                <a:path w="403011" h="771525">
                  <a:moveTo>
                    <a:pt x="212484" y="0"/>
                  </a:moveTo>
                  <a:cubicBezTo>
                    <a:pt x="205992" y="61119"/>
                    <a:pt x="217468" y="152189"/>
                    <a:pt x="212484" y="161925"/>
                  </a:cubicBezTo>
                  <a:cubicBezTo>
                    <a:pt x="207500" y="171661"/>
                    <a:pt x="-28816" y="215900"/>
                    <a:pt x="2934" y="238125"/>
                  </a:cubicBezTo>
                  <a:cubicBezTo>
                    <a:pt x="34684" y="260350"/>
                    <a:pt x="403212" y="268877"/>
                    <a:pt x="402984" y="295275"/>
                  </a:cubicBezTo>
                  <a:cubicBezTo>
                    <a:pt x="402756" y="321673"/>
                    <a:pt x="1566" y="366353"/>
                    <a:pt x="1566" y="396515"/>
                  </a:cubicBezTo>
                  <a:cubicBezTo>
                    <a:pt x="1566" y="426677"/>
                    <a:pt x="399400" y="449672"/>
                    <a:pt x="402984" y="476250"/>
                  </a:cubicBezTo>
                  <a:cubicBezTo>
                    <a:pt x="406568" y="502828"/>
                    <a:pt x="56225" y="525823"/>
                    <a:pt x="23068" y="555985"/>
                  </a:cubicBezTo>
                  <a:cubicBezTo>
                    <a:pt x="-10089" y="586147"/>
                    <a:pt x="196428" y="615312"/>
                    <a:pt x="204043" y="657225"/>
                  </a:cubicBezTo>
                  <a:cubicBezTo>
                    <a:pt x="211658" y="699138"/>
                    <a:pt x="207580" y="725847"/>
                    <a:pt x="212484" y="771525"/>
                  </a:cubicBezTo>
                </a:path>
              </a:pathLst>
            </a:custGeom>
          </xdr:spPr>
          <xdr:style>
            <a:lnRef idx="2">
              <a:schemeClr val="accent1"/>
            </a:lnRef>
            <a:fillRef idx="0">
              <a:schemeClr val="accent1"/>
            </a:fillRef>
            <a:effectRef idx="1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endParaRPr lang="en-AU"/>
            </a:p>
          </xdr:txBody>
        </xdr:sp>
        <xdr:grpSp>
          <xdr:nvGrpSpPr>
            <xdr:cNvPr id="284048" name="Group 42"/>
            <xdr:cNvGrpSpPr>
              <a:grpSpLocks/>
            </xdr:cNvGrpSpPr>
          </xdr:nvGrpSpPr>
          <xdr:grpSpPr bwMode="auto">
            <a:xfrm>
              <a:off x="4579784" y="5647319"/>
              <a:ext cx="244995" cy="331908"/>
              <a:chOff x="1627034" y="5390876"/>
              <a:chExt cx="244995" cy="331908"/>
            </a:xfrm>
          </xdr:grpSpPr>
          <xdr:cxnSp macro="">
            <xdr:nvCxnSpPr>
              <xdr:cNvPr id="44" name="Straight Connector 43"/>
              <xdr:cNvCxnSpPr/>
            </xdr:nvCxnSpPr>
            <xdr:spPr>
              <a:xfrm>
                <a:off x="1665551" y="5633350"/>
                <a:ext cx="162913" cy="0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5" name="Straight Connector 44"/>
              <xdr:cNvCxnSpPr/>
            </xdr:nvCxnSpPr>
            <xdr:spPr>
              <a:xfrm>
                <a:off x="1702576" y="5719886"/>
                <a:ext cx="96267" cy="0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6" name="Straight Connector 45"/>
              <xdr:cNvCxnSpPr/>
            </xdr:nvCxnSpPr>
            <xdr:spPr>
              <a:xfrm>
                <a:off x="1761818" y="5388165"/>
                <a:ext cx="0" cy="165861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47" name="Straight Connector 46"/>
              <xdr:cNvCxnSpPr/>
            </xdr:nvCxnSpPr>
            <xdr:spPr>
              <a:xfrm>
                <a:off x="1628525" y="5546814"/>
                <a:ext cx="244370" cy="0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</xdr:grpSp>
      </xdr:grpSp>
      <xdr:grpSp>
        <xdr:nvGrpSpPr>
          <xdr:cNvPr id="284034" name="Group 48"/>
          <xdr:cNvGrpSpPr>
            <a:grpSpLocks/>
          </xdr:cNvGrpSpPr>
        </xdr:nvGrpSpPr>
        <xdr:grpSpPr bwMode="auto">
          <a:xfrm>
            <a:off x="1603857" y="4381605"/>
            <a:ext cx="401549" cy="1238602"/>
            <a:chOff x="1530587" y="4561115"/>
            <a:chExt cx="401549" cy="1161669"/>
          </a:xfrm>
        </xdr:grpSpPr>
        <xdr:grpSp>
          <xdr:nvGrpSpPr>
            <xdr:cNvPr id="284041" name="Group 41"/>
            <xdr:cNvGrpSpPr>
              <a:grpSpLocks/>
            </xdr:cNvGrpSpPr>
          </xdr:nvGrpSpPr>
          <xdr:grpSpPr bwMode="auto">
            <a:xfrm>
              <a:off x="1627034" y="5390876"/>
              <a:ext cx="244995" cy="331908"/>
              <a:chOff x="1627034" y="5390876"/>
              <a:chExt cx="244995" cy="331908"/>
            </a:xfrm>
          </xdr:grpSpPr>
          <xdr:cxnSp macro="">
            <xdr:nvCxnSpPr>
              <xdr:cNvPr id="15" name="Straight Connector 14"/>
              <xdr:cNvCxnSpPr/>
            </xdr:nvCxnSpPr>
            <xdr:spPr>
              <a:xfrm>
                <a:off x="1618224" y="5635963"/>
                <a:ext cx="192534" cy="0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7" name="Straight Connector 16"/>
              <xdr:cNvCxnSpPr/>
            </xdr:nvCxnSpPr>
            <xdr:spPr>
              <a:xfrm>
                <a:off x="1677465" y="5722784"/>
                <a:ext cx="111077" cy="0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27" name="Straight Connector 26"/>
              <xdr:cNvCxnSpPr/>
            </xdr:nvCxnSpPr>
            <xdr:spPr>
              <a:xfrm>
                <a:off x="1744111" y="5447849"/>
                <a:ext cx="0" cy="108527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  <xdr:cxnSp macro="">
            <xdr:nvCxnSpPr>
              <xdr:cNvPr id="14" name="Straight Connector 13"/>
              <xdr:cNvCxnSpPr/>
            </xdr:nvCxnSpPr>
            <xdr:spPr>
              <a:xfrm>
                <a:off x="1507146" y="5556376"/>
                <a:ext cx="481335" cy="0"/>
              </a:xfrm>
              <a:prstGeom prst="line">
                <a:avLst/>
              </a:prstGeom>
            </xdr:spPr>
            <xdr:style>
              <a:lnRef idx="2">
                <a:schemeClr val="accent1"/>
              </a:lnRef>
              <a:fillRef idx="0">
                <a:schemeClr val="accent1"/>
              </a:fillRef>
              <a:effectRef idx="1">
                <a:schemeClr val="accent1"/>
              </a:effectRef>
              <a:fontRef idx="minor">
                <a:schemeClr val="tx1"/>
              </a:fontRef>
            </xdr:style>
          </xdr:cxnSp>
        </xdr:grpSp>
        <xdr:sp macro="" textlink="">
          <xdr:nvSpPr>
            <xdr:cNvPr id="48" name="Freeform 47"/>
            <xdr:cNvSpPr/>
          </xdr:nvSpPr>
          <xdr:spPr>
            <a:xfrm>
              <a:off x="1507146" y="4565164"/>
              <a:ext cx="422094" cy="853745"/>
            </a:xfrm>
            <a:custGeom>
              <a:avLst/>
              <a:gdLst>
                <a:gd name="connsiteX0" fmla="*/ 212858 w 403402"/>
                <a:gd name="connsiteY0" fmla="*/ 0 h 771525"/>
                <a:gd name="connsiteX1" fmla="*/ 212858 w 403402"/>
                <a:gd name="connsiteY1" fmla="*/ 161925 h 771525"/>
                <a:gd name="connsiteX2" fmla="*/ 3308 w 403402"/>
                <a:gd name="connsiteY2" fmla="*/ 238125 h 771525"/>
                <a:gd name="connsiteX3" fmla="*/ 403358 w 403402"/>
                <a:gd name="connsiteY3" fmla="*/ 295275 h 771525"/>
                <a:gd name="connsiteX4" fmla="*/ 31883 w 403402"/>
                <a:gd name="connsiteY4" fmla="*/ 390525 h 771525"/>
                <a:gd name="connsiteX5" fmla="*/ 403358 w 403402"/>
                <a:gd name="connsiteY5" fmla="*/ 476250 h 771525"/>
                <a:gd name="connsiteX6" fmla="*/ 41408 w 403402"/>
                <a:gd name="connsiteY6" fmla="*/ 561975 h 771525"/>
                <a:gd name="connsiteX7" fmla="*/ 222383 w 403402"/>
                <a:gd name="connsiteY7" fmla="*/ 657225 h 771525"/>
                <a:gd name="connsiteX8" fmla="*/ 212858 w 403402"/>
                <a:gd name="connsiteY8" fmla="*/ 771525 h 771525"/>
                <a:gd name="connsiteX0" fmla="*/ 212858 w 403402"/>
                <a:gd name="connsiteY0" fmla="*/ 0 h 771525"/>
                <a:gd name="connsiteX1" fmla="*/ 212858 w 403402"/>
                <a:gd name="connsiteY1" fmla="*/ 161925 h 771525"/>
                <a:gd name="connsiteX2" fmla="*/ 3308 w 403402"/>
                <a:gd name="connsiteY2" fmla="*/ 238125 h 771525"/>
                <a:gd name="connsiteX3" fmla="*/ 403358 w 403402"/>
                <a:gd name="connsiteY3" fmla="*/ 295275 h 771525"/>
                <a:gd name="connsiteX4" fmla="*/ 31883 w 403402"/>
                <a:gd name="connsiteY4" fmla="*/ 390525 h 771525"/>
                <a:gd name="connsiteX5" fmla="*/ 403358 w 403402"/>
                <a:gd name="connsiteY5" fmla="*/ 476250 h 771525"/>
                <a:gd name="connsiteX6" fmla="*/ 41408 w 403402"/>
                <a:gd name="connsiteY6" fmla="*/ 561975 h 771525"/>
                <a:gd name="connsiteX7" fmla="*/ 222383 w 403402"/>
                <a:gd name="connsiteY7" fmla="*/ 657225 h 771525"/>
                <a:gd name="connsiteX8" fmla="*/ 212858 w 403402"/>
                <a:gd name="connsiteY8" fmla="*/ 771525 h 771525"/>
                <a:gd name="connsiteX0" fmla="*/ 212484 w 403028"/>
                <a:gd name="connsiteY0" fmla="*/ 0 h 771525"/>
                <a:gd name="connsiteX1" fmla="*/ 212484 w 403028"/>
                <a:gd name="connsiteY1" fmla="*/ 161925 h 771525"/>
                <a:gd name="connsiteX2" fmla="*/ 2934 w 403028"/>
                <a:gd name="connsiteY2" fmla="*/ 238125 h 771525"/>
                <a:gd name="connsiteX3" fmla="*/ 402984 w 403028"/>
                <a:gd name="connsiteY3" fmla="*/ 295275 h 771525"/>
                <a:gd name="connsiteX4" fmla="*/ 31509 w 403028"/>
                <a:gd name="connsiteY4" fmla="*/ 390525 h 771525"/>
                <a:gd name="connsiteX5" fmla="*/ 402984 w 403028"/>
                <a:gd name="connsiteY5" fmla="*/ 476250 h 771525"/>
                <a:gd name="connsiteX6" fmla="*/ 41034 w 403028"/>
                <a:gd name="connsiteY6" fmla="*/ 561975 h 771525"/>
                <a:gd name="connsiteX7" fmla="*/ 222009 w 403028"/>
                <a:gd name="connsiteY7" fmla="*/ 657225 h 771525"/>
                <a:gd name="connsiteX8" fmla="*/ 212484 w 403028"/>
                <a:gd name="connsiteY8" fmla="*/ 771525 h 771525"/>
                <a:gd name="connsiteX0" fmla="*/ 212484 w 403078"/>
                <a:gd name="connsiteY0" fmla="*/ 0 h 771525"/>
                <a:gd name="connsiteX1" fmla="*/ 212484 w 403078"/>
                <a:gd name="connsiteY1" fmla="*/ 161925 h 771525"/>
                <a:gd name="connsiteX2" fmla="*/ 2934 w 403078"/>
                <a:gd name="connsiteY2" fmla="*/ 238125 h 771525"/>
                <a:gd name="connsiteX3" fmla="*/ 402984 w 403078"/>
                <a:gd name="connsiteY3" fmla="*/ 295275 h 771525"/>
                <a:gd name="connsiteX4" fmla="*/ 1566 w 403078"/>
                <a:gd name="connsiteY4" fmla="*/ 396515 h 771525"/>
                <a:gd name="connsiteX5" fmla="*/ 402984 w 403078"/>
                <a:gd name="connsiteY5" fmla="*/ 476250 h 771525"/>
                <a:gd name="connsiteX6" fmla="*/ 41034 w 403078"/>
                <a:gd name="connsiteY6" fmla="*/ 561975 h 771525"/>
                <a:gd name="connsiteX7" fmla="*/ 222009 w 403078"/>
                <a:gd name="connsiteY7" fmla="*/ 657225 h 771525"/>
                <a:gd name="connsiteX8" fmla="*/ 212484 w 403078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22009 w 403011"/>
                <a:gd name="connsiteY7" fmla="*/ 657225 h 771525"/>
                <a:gd name="connsiteX8" fmla="*/ 212484 w 403011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22009 w 403011"/>
                <a:gd name="connsiteY7" fmla="*/ 657225 h 771525"/>
                <a:gd name="connsiteX8" fmla="*/ 212484 w 403011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22009 w 403011"/>
                <a:gd name="connsiteY7" fmla="*/ 657225 h 771525"/>
                <a:gd name="connsiteX8" fmla="*/ 212484 w 403011"/>
                <a:gd name="connsiteY8" fmla="*/ 771525 h 771525"/>
                <a:gd name="connsiteX0" fmla="*/ 212484 w 403011"/>
                <a:gd name="connsiteY0" fmla="*/ 0 h 771525"/>
                <a:gd name="connsiteX1" fmla="*/ 212484 w 403011"/>
                <a:gd name="connsiteY1" fmla="*/ 161925 h 771525"/>
                <a:gd name="connsiteX2" fmla="*/ 2934 w 403011"/>
                <a:gd name="connsiteY2" fmla="*/ 238125 h 771525"/>
                <a:gd name="connsiteX3" fmla="*/ 402984 w 403011"/>
                <a:gd name="connsiteY3" fmla="*/ 295275 h 771525"/>
                <a:gd name="connsiteX4" fmla="*/ 1566 w 403011"/>
                <a:gd name="connsiteY4" fmla="*/ 396515 h 771525"/>
                <a:gd name="connsiteX5" fmla="*/ 402984 w 403011"/>
                <a:gd name="connsiteY5" fmla="*/ 476250 h 771525"/>
                <a:gd name="connsiteX6" fmla="*/ 23068 w 403011"/>
                <a:gd name="connsiteY6" fmla="*/ 555985 h 771525"/>
                <a:gd name="connsiteX7" fmla="*/ 204043 w 403011"/>
                <a:gd name="connsiteY7" fmla="*/ 657225 h 771525"/>
                <a:gd name="connsiteX8" fmla="*/ 212484 w 403011"/>
                <a:gd name="connsiteY8" fmla="*/ 771525 h 771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  <a:cxn ang="0">
                  <a:pos x="connsiteX4" y="connsiteY4"/>
                </a:cxn>
                <a:cxn ang="0">
                  <a:pos x="connsiteX5" y="connsiteY5"/>
                </a:cxn>
                <a:cxn ang="0">
                  <a:pos x="connsiteX6" y="connsiteY6"/>
                </a:cxn>
                <a:cxn ang="0">
                  <a:pos x="connsiteX7" y="connsiteY7"/>
                </a:cxn>
                <a:cxn ang="0">
                  <a:pos x="connsiteX8" y="connsiteY8"/>
                </a:cxn>
              </a:cxnLst>
              <a:rect l="l" t="t" r="r" b="b"/>
              <a:pathLst>
                <a:path w="403011" h="771525">
                  <a:moveTo>
                    <a:pt x="212484" y="0"/>
                  </a:moveTo>
                  <a:cubicBezTo>
                    <a:pt x="205992" y="61119"/>
                    <a:pt x="217468" y="152189"/>
                    <a:pt x="212484" y="161925"/>
                  </a:cubicBezTo>
                  <a:cubicBezTo>
                    <a:pt x="207500" y="171661"/>
                    <a:pt x="-28816" y="215900"/>
                    <a:pt x="2934" y="238125"/>
                  </a:cubicBezTo>
                  <a:cubicBezTo>
                    <a:pt x="34684" y="260350"/>
                    <a:pt x="403212" y="268877"/>
                    <a:pt x="402984" y="295275"/>
                  </a:cubicBezTo>
                  <a:cubicBezTo>
                    <a:pt x="402756" y="321673"/>
                    <a:pt x="1566" y="366353"/>
                    <a:pt x="1566" y="396515"/>
                  </a:cubicBezTo>
                  <a:cubicBezTo>
                    <a:pt x="1566" y="426677"/>
                    <a:pt x="399400" y="449672"/>
                    <a:pt x="402984" y="476250"/>
                  </a:cubicBezTo>
                  <a:cubicBezTo>
                    <a:pt x="406568" y="502828"/>
                    <a:pt x="56225" y="525823"/>
                    <a:pt x="23068" y="555985"/>
                  </a:cubicBezTo>
                  <a:cubicBezTo>
                    <a:pt x="-10089" y="586147"/>
                    <a:pt x="196428" y="615312"/>
                    <a:pt x="204043" y="657225"/>
                  </a:cubicBezTo>
                  <a:cubicBezTo>
                    <a:pt x="211658" y="699138"/>
                    <a:pt x="207580" y="725847"/>
                    <a:pt x="212484" y="771525"/>
                  </a:cubicBezTo>
                </a:path>
              </a:pathLst>
            </a:custGeom>
          </xdr:spPr>
          <xdr:style>
            <a:lnRef idx="2">
              <a:schemeClr val="accent1"/>
            </a:lnRef>
            <a:fillRef idx="0">
              <a:schemeClr val="accent1"/>
            </a:fillRef>
            <a:effectRef idx="1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endParaRPr lang="en-AU"/>
            </a:p>
          </xdr:txBody>
        </xdr:sp>
      </xdr:grpSp>
      <xdr:cxnSp macro="">
        <xdr:nvCxnSpPr>
          <xdr:cNvPr id="51" name="Straight Connector 50"/>
          <xdr:cNvCxnSpPr/>
        </xdr:nvCxnSpPr>
        <xdr:spPr>
          <a:xfrm flipH="1">
            <a:off x="6245660" y="1616494"/>
            <a:ext cx="0" cy="2769427"/>
          </a:xfrm>
          <a:prstGeom prst="line">
            <a:avLst/>
          </a:prstGeom>
        </xdr:spPr>
        <xdr:style>
          <a:lnRef idx="2">
            <a:schemeClr val="accent1"/>
          </a:lnRef>
          <a:fillRef idx="0">
            <a:schemeClr val="accent1"/>
          </a:fillRef>
          <a:effectRef idx="1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5" name="Oval 4"/>
          <xdr:cNvSpPr/>
        </xdr:nvSpPr>
        <xdr:spPr>
          <a:xfrm>
            <a:off x="1758140" y="1562494"/>
            <a:ext cx="118482" cy="123429"/>
          </a:xfrm>
          <a:prstGeom prst="ellipse">
            <a:avLst/>
          </a:prstGeom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sp macro="" textlink="">
        <xdr:nvSpPr>
          <xdr:cNvPr id="53" name="Oval 52"/>
          <xdr:cNvSpPr/>
        </xdr:nvSpPr>
        <xdr:spPr>
          <a:xfrm>
            <a:off x="6179014" y="1562494"/>
            <a:ext cx="125888" cy="123429"/>
          </a:xfrm>
          <a:prstGeom prst="ellipse">
            <a:avLst/>
          </a:prstGeom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sp macro="" textlink="">
        <xdr:nvSpPr>
          <xdr:cNvPr id="54" name="Oval 53"/>
          <xdr:cNvSpPr/>
        </xdr:nvSpPr>
        <xdr:spPr>
          <a:xfrm>
            <a:off x="2824481" y="1547066"/>
            <a:ext cx="111077" cy="123429"/>
          </a:xfrm>
          <a:prstGeom prst="ellipse">
            <a:avLst/>
          </a:prstGeom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sp macro="" textlink="">
        <xdr:nvSpPr>
          <xdr:cNvPr id="62" name="Oval 61"/>
          <xdr:cNvSpPr/>
        </xdr:nvSpPr>
        <xdr:spPr>
          <a:xfrm>
            <a:off x="3572401" y="1570209"/>
            <a:ext cx="111077" cy="115714"/>
          </a:xfrm>
          <a:prstGeom prst="ellipse">
            <a:avLst/>
          </a:prstGeom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  <xdr:sp macro="" textlink="">
        <xdr:nvSpPr>
          <xdr:cNvPr id="63" name="Oval 62"/>
          <xdr:cNvSpPr/>
        </xdr:nvSpPr>
        <xdr:spPr>
          <a:xfrm>
            <a:off x="6193824" y="4331922"/>
            <a:ext cx="111077" cy="123429"/>
          </a:xfrm>
          <a:prstGeom prst="ellipse">
            <a:avLst/>
          </a:prstGeom>
          <a:ln>
            <a:solidFill>
              <a:schemeClr val="accent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en-AU"/>
          </a:p>
        </xdr:txBody>
      </xdr:sp>
    </xdr:grpSp>
    <xdr:clientData/>
  </xdr:twoCellAnchor>
  <xdr:twoCellAnchor>
    <xdr:from>
      <xdr:col>14</xdr:col>
      <xdr:colOff>533839</xdr:colOff>
      <xdr:row>23</xdr:row>
      <xdr:rowOff>118111</xdr:rowOff>
    </xdr:from>
    <xdr:to>
      <xdr:col>15</xdr:col>
      <xdr:colOff>41189</xdr:colOff>
      <xdr:row>25</xdr:row>
      <xdr:rowOff>48050</xdr:rowOff>
    </xdr:to>
    <xdr:sp macro="" textlink="">
      <xdr:nvSpPr>
        <xdr:cNvPr id="72" name="Oval 71"/>
        <xdr:cNvSpPr/>
      </xdr:nvSpPr>
      <xdr:spPr>
        <a:xfrm>
          <a:off x="9097107" y="4319955"/>
          <a:ext cx="117230" cy="117230"/>
        </a:xfrm>
        <a:prstGeom prst="ellipse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AU"/>
        </a:p>
      </xdr:txBody>
    </xdr:sp>
    <xdr:clientData/>
  </xdr:twoCellAnchor>
  <xdr:twoCellAnchor>
    <xdr:from>
      <xdr:col>2</xdr:col>
      <xdr:colOff>559778</xdr:colOff>
      <xdr:row>23</xdr:row>
      <xdr:rowOff>126903</xdr:rowOff>
    </xdr:from>
    <xdr:to>
      <xdr:col>3</xdr:col>
      <xdr:colOff>49048</xdr:colOff>
      <xdr:row>25</xdr:row>
      <xdr:rowOff>58362</xdr:rowOff>
    </xdr:to>
    <xdr:sp macro="" textlink="">
      <xdr:nvSpPr>
        <xdr:cNvPr id="52" name="Oval 51"/>
        <xdr:cNvSpPr/>
      </xdr:nvSpPr>
      <xdr:spPr>
        <a:xfrm>
          <a:off x="1998467" y="4421767"/>
          <a:ext cx="122008" cy="116274"/>
        </a:xfrm>
        <a:prstGeom prst="ellipse">
          <a:avLst/>
        </a:prstGeom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en-AU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23</xdr:row>
          <xdr:rowOff>47625</xdr:rowOff>
        </xdr:from>
        <xdr:to>
          <xdr:col>12</xdr:col>
          <xdr:colOff>438150</xdr:colOff>
          <xdr:row>32</xdr:row>
          <xdr:rowOff>133350</xdr:rowOff>
        </xdr:to>
        <xdr:sp macro="" textlink="">
          <xdr:nvSpPr>
            <xdr:cNvPr id="44038" name="LV_resistor" hidden="1">
              <a:extLst>
                <a:ext uri="{63B3BB69-23CF-44E3-9099-C40C66FF867C}">
                  <a14:compatExt spid="_x0000_s44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33</xdr:row>
      <xdr:rowOff>7620</xdr:rowOff>
    </xdr:from>
    <xdr:to>
      <xdr:col>7</xdr:col>
      <xdr:colOff>754380</xdr:colOff>
      <xdr:row>60</xdr:row>
      <xdr:rowOff>106680</xdr:rowOff>
    </xdr:to>
    <xdr:graphicFrame macro="">
      <xdr:nvGraphicFramePr>
        <xdr:cNvPr id="6372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24</xdr:row>
          <xdr:rowOff>95250</xdr:rowOff>
        </xdr:from>
        <xdr:to>
          <xdr:col>7</xdr:col>
          <xdr:colOff>9525</xdr:colOff>
          <xdr:row>26</xdr:row>
          <xdr:rowOff>133350</xdr:rowOff>
        </xdr:to>
        <xdr:sp macro="" textlink="">
          <xdr:nvSpPr>
            <xdr:cNvPr id="63512" name="Button 24" hidden="1">
              <a:extLst>
                <a:ext uri="{63B3BB69-23CF-44E3-9099-C40C66FF867C}">
                  <a14:compatExt spid="_x0000_s6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AU" sz="2800" b="1" i="0" u="none" strike="noStrike" baseline="0">
                  <a:solidFill>
                    <a:srgbClr val="000000"/>
                  </a:solidFill>
                  <a:latin typeface="Calibri"/>
                </a:rPr>
                <a:t>Calculate Soil Model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2</xdr:row>
          <xdr:rowOff>9525</xdr:rowOff>
        </xdr:from>
        <xdr:to>
          <xdr:col>7</xdr:col>
          <xdr:colOff>657225</xdr:colOff>
          <xdr:row>8</xdr:row>
          <xdr:rowOff>9525</xdr:rowOff>
        </xdr:to>
        <xdr:sp macro="" textlink="">
          <xdr:nvSpPr>
            <xdr:cNvPr id="63514" name="Button 26" hidden="1">
              <a:extLst>
                <a:ext uri="{63B3BB69-23CF-44E3-9099-C40C66FF867C}">
                  <a14:compatExt spid="_x0000_s6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AU" sz="2800" b="1" i="0" u="none" strike="noStrike" baseline="0">
                  <a:solidFill>
                    <a:srgbClr val="000000"/>
                  </a:solidFill>
                  <a:latin typeface="Calibri"/>
                </a:rPr>
                <a:t>Export soil resistivity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9</xdr:row>
          <xdr:rowOff>9525</xdr:rowOff>
        </xdr:from>
        <xdr:to>
          <xdr:col>7</xdr:col>
          <xdr:colOff>657225</xdr:colOff>
          <xdr:row>15</xdr:row>
          <xdr:rowOff>28575</xdr:rowOff>
        </xdr:to>
        <xdr:sp macro="" textlink="">
          <xdr:nvSpPr>
            <xdr:cNvPr id="63515" name="Button 27" hidden="1">
              <a:extLst>
                <a:ext uri="{63B3BB69-23CF-44E3-9099-C40C66FF867C}">
                  <a14:compatExt spid="_x0000_s6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en-AU" sz="2800" b="1" i="0" u="none" strike="noStrike" baseline="0">
                  <a:solidFill>
                    <a:srgbClr val="000000"/>
                  </a:solidFill>
                  <a:latin typeface="Calibri"/>
                </a:rPr>
                <a:t>View location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285750</xdr:colOff>
          <xdr:row>7</xdr:row>
          <xdr:rowOff>180975</xdr:rowOff>
        </xdr:from>
        <xdr:to>
          <xdr:col>11</xdr:col>
          <xdr:colOff>447675</xdr:colOff>
          <xdr:row>10</xdr:row>
          <xdr:rowOff>95250</xdr:rowOff>
        </xdr:to>
        <xdr:sp macro="" textlink="">
          <xdr:nvSpPr>
            <xdr:cNvPr id="41997" name="Object 1037" hidden="1">
              <a:extLst>
                <a:ext uri="{63B3BB69-23CF-44E3-9099-C40C66FF867C}">
                  <a14:compatExt spid="_x0000_s419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10</xdr:row>
          <xdr:rowOff>133350</xdr:rowOff>
        </xdr:from>
        <xdr:to>
          <xdr:col>12</xdr:col>
          <xdr:colOff>228600</xdr:colOff>
          <xdr:row>12</xdr:row>
          <xdr:rowOff>95250</xdr:rowOff>
        </xdr:to>
        <xdr:sp macro="" textlink="">
          <xdr:nvSpPr>
            <xdr:cNvPr id="41998" name="Object 1038" hidden="1">
              <a:extLst>
                <a:ext uri="{63B3BB69-23CF-44E3-9099-C40C66FF867C}">
                  <a14:compatExt spid="_x0000_s419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259080</xdr:colOff>
      <xdr:row>0</xdr:row>
      <xdr:rowOff>68580</xdr:rowOff>
    </xdr:from>
    <xdr:to>
      <xdr:col>7</xdr:col>
      <xdr:colOff>922020</xdr:colOff>
      <xdr:row>1</xdr:row>
      <xdr:rowOff>403860</xdr:rowOff>
    </xdr:to>
    <xdr:pic>
      <xdr:nvPicPr>
        <xdr:cNvPr id="66771" name="Picture 1" descr="Endeavour Logo Medium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93820" y="68580"/>
          <a:ext cx="1882140" cy="5105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0</xdr:row>
          <xdr:rowOff>47625</xdr:rowOff>
        </xdr:from>
        <xdr:to>
          <xdr:col>7</xdr:col>
          <xdr:colOff>419100</xdr:colOff>
          <xdr:row>32</xdr:row>
          <xdr:rowOff>666750</xdr:rowOff>
        </xdr:to>
        <xdr:sp macro="" textlink="">
          <xdr:nvSpPr>
            <xdr:cNvPr id="56321" name="Object 1" hidden="1">
              <a:extLst>
                <a:ext uri="{63B3BB69-23CF-44E3-9099-C40C66FF867C}">
                  <a14:compatExt spid="_x0000_s56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3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5.emf"/><Relationship Id="rId4" Type="http://schemas.openxmlformats.org/officeDocument/2006/relationships/oleObject" Target="../embeddings/Microsoft_Word_97_-_2003_Document1.doc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LT166"/>
  <sheetViews>
    <sheetView tabSelected="1" zoomScale="85" zoomScaleNormal="85" zoomScaleSheetLayoutView="55" workbookViewId="0">
      <selection activeCell="F5" sqref="F5:L6"/>
    </sheetView>
  </sheetViews>
  <sheetFormatPr defaultColWidth="8.85546875" defaultRowHeight="12.75" x14ac:dyDescent="0.2"/>
  <cols>
    <col min="1" max="3" width="8.85546875" style="52"/>
    <col min="4" max="4" width="16" style="52" customWidth="1"/>
    <col min="5" max="5" width="13.5703125" style="52" customWidth="1"/>
    <col min="6" max="6" width="24" style="52" customWidth="1"/>
    <col min="7" max="7" width="17.28515625" style="52" customWidth="1"/>
    <col min="8" max="8" width="7" style="52" customWidth="1"/>
    <col min="9" max="9" width="10.85546875" style="52" customWidth="1"/>
    <col min="10" max="10" width="15.140625" style="52" customWidth="1"/>
    <col min="11" max="11" width="11.7109375" style="52" customWidth="1"/>
    <col min="12" max="12" width="14.140625" style="52" customWidth="1"/>
    <col min="13" max="13" width="10.42578125" style="52" customWidth="1"/>
    <col min="14" max="14" width="9.85546875" style="182" customWidth="1"/>
    <col min="15" max="15" width="8.85546875" style="182"/>
    <col min="16" max="16" width="10.140625" style="182" bestFit="1" customWidth="1"/>
    <col min="17" max="332" width="8.85546875" style="182"/>
    <col min="333" max="16384" width="8.85546875" style="52"/>
  </cols>
  <sheetData>
    <row r="1" spans="1:70" ht="19.899999999999999" customHeight="1" x14ac:dyDescent="0.2">
      <c r="A1" s="580" t="s">
        <v>389</v>
      </c>
      <c r="B1" s="581"/>
      <c r="C1" s="581"/>
      <c r="D1" s="581"/>
      <c r="E1" s="581"/>
      <c r="F1" s="581"/>
      <c r="G1" s="581"/>
      <c r="H1" s="586" t="s">
        <v>485</v>
      </c>
      <c r="I1" s="587"/>
      <c r="J1" s="587"/>
      <c r="K1" s="587"/>
      <c r="L1" s="588"/>
      <c r="M1" s="350" t="str">
        <f>IF(G30=TRUE, (IF(G95=TRUE, IF(config="Separate","SEPARATELY EARTHED DESIGN",IF(AND(config="Common",NOT(ISNA(GPR)),GPR&lt;F55),"COMPLIANT COMMON EARTH DESIGN", IF(AND(config="Common",NOT(ISNA(GPR)),GPR&gt;F55),"NON COMPLIANT COMMON EARTH DESIGN",""))),"DESIGN INCOMPLETE - PLEASE MAKE SURE ALL VALUES ARE FILLED")),(IF(L95=TRUE, IF(config="Separate","SEPARATELY EARTHED DESIGN",IF(AND(config="Common",NOT(ISNA(GPR)),GPR&lt;F55),"COMPLIANT COMMON EARTH DESIGN", IF(AND(config="Common",NOT(ISNA(GPR)),GPR&gt;F55),"NON COMPLIANT COMMON EARTH DESIGN",""))),"DESIGN INCOMPLETE - PLEASE MAKE SURE ALL VALUES ARE FILLED")))</f>
        <v>DESIGN INCOMPLETE - PLEASE MAKE SURE ALL VALUES ARE FILLED</v>
      </c>
      <c r="N1" s="350" t="str">
        <f>IF(Diligence=TRUE,"ALARP DESIGN ASSESSED","ALARP DESIGN NOT ASSESSED")</f>
        <v>ALARP DESIGN NOT ASSESSED</v>
      </c>
      <c r="O1" s="214"/>
      <c r="P1" s="214"/>
      <c r="Q1" s="214"/>
      <c r="R1" s="214"/>
      <c r="S1" s="214"/>
      <c r="T1" s="214"/>
      <c r="U1" s="214"/>
      <c r="V1" s="214"/>
      <c r="W1" s="214"/>
      <c r="X1" s="214"/>
      <c r="Y1" s="214"/>
      <c r="Z1" s="214"/>
      <c r="AA1" s="214"/>
      <c r="AB1" s="214"/>
      <c r="AC1" s="214"/>
      <c r="AD1" s="214"/>
      <c r="AE1" s="214"/>
      <c r="AF1" s="214"/>
      <c r="AG1" s="214"/>
      <c r="AH1" s="214"/>
      <c r="AI1" s="214"/>
      <c r="AJ1" s="214"/>
      <c r="AK1" s="214"/>
      <c r="AL1" s="214"/>
      <c r="AM1" s="214"/>
      <c r="AN1" s="214"/>
      <c r="AO1" s="214"/>
      <c r="AP1" s="214"/>
      <c r="AQ1" s="214"/>
      <c r="AR1" s="214"/>
      <c r="AS1" s="214"/>
    </row>
    <row r="2" spans="1:70" ht="13.5" customHeight="1" x14ac:dyDescent="0.2">
      <c r="A2" s="582"/>
      <c r="B2" s="583"/>
      <c r="C2" s="583"/>
      <c r="D2" s="583"/>
      <c r="E2" s="583"/>
      <c r="F2" s="583"/>
      <c r="G2" s="583"/>
      <c r="H2" s="592"/>
      <c r="I2" s="593"/>
      <c r="J2" s="593"/>
      <c r="K2" s="593"/>
      <c r="L2" s="594"/>
      <c r="M2" s="351"/>
      <c r="N2" s="351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</row>
    <row r="3" spans="1:70" ht="19.899999999999999" customHeight="1" thickBot="1" x14ac:dyDescent="0.25">
      <c r="A3" s="584"/>
      <c r="B3" s="585"/>
      <c r="C3" s="585"/>
      <c r="D3" s="585"/>
      <c r="E3" s="585"/>
      <c r="F3" s="585"/>
      <c r="G3" s="585"/>
      <c r="H3" s="589" t="s">
        <v>488</v>
      </c>
      <c r="I3" s="590"/>
      <c r="J3" s="590"/>
      <c r="K3" s="590"/>
      <c r="L3" s="591"/>
      <c r="M3" s="351"/>
      <c r="N3" s="351"/>
      <c r="O3" s="214"/>
      <c r="P3" s="214"/>
      <c r="Q3" s="214"/>
      <c r="R3" s="214"/>
      <c r="S3" s="214"/>
      <c r="T3" s="214"/>
      <c r="U3" s="214"/>
      <c r="V3" s="214"/>
      <c r="W3" s="214"/>
      <c r="X3" s="214"/>
      <c r="Y3" s="214"/>
      <c r="Z3" s="214"/>
      <c r="AA3" s="214"/>
      <c r="AB3" s="214"/>
      <c r="AC3" s="214"/>
      <c r="AD3" s="214"/>
      <c r="AE3" s="214"/>
      <c r="AF3" s="214"/>
      <c r="AG3" s="214"/>
      <c r="AH3" s="214"/>
      <c r="AI3" s="214"/>
      <c r="AJ3" s="214"/>
      <c r="AK3" s="214"/>
      <c r="AL3" s="214"/>
      <c r="AM3" s="214"/>
      <c r="AN3" s="214"/>
      <c r="AO3" s="214"/>
      <c r="AP3" s="214"/>
      <c r="AQ3" s="214"/>
      <c r="AR3" s="214"/>
      <c r="AS3" s="214"/>
    </row>
    <row r="4" spans="1:70" ht="16.5" thickBot="1" x14ac:dyDescent="0.3">
      <c r="A4" s="363" t="s">
        <v>25</v>
      </c>
      <c r="B4" s="367"/>
      <c r="C4" s="560" t="s">
        <v>355</v>
      </c>
      <c r="D4" s="561"/>
      <c r="E4" s="561"/>
      <c r="F4" s="561"/>
      <c r="G4" s="561"/>
      <c r="H4" s="561"/>
      <c r="I4" s="561"/>
      <c r="J4" s="561"/>
      <c r="K4" s="561"/>
      <c r="L4" s="562"/>
      <c r="M4" s="352"/>
      <c r="N4" s="352"/>
      <c r="O4" s="214"/>
      <c r="P4" s="214"/>
      <c r="Q4" s="214"/>
      <c r="R4" s="214"/>
      <c r="S4" s="214"/>
      <c r="T4" s="214"/>
      <c r="U4" s="214"/>
      <c r="V4" s="214"/>
      <c r="W4" s="214"/>
      <c r="X4" s="214"/>
      <c r="Y4" s="214"/>
      <c r="Z4" s="214"/>
      <c r="AA4" s="214"/>
      <c r="AB4" s="214"/>
      <c r="AC4" s="214"/>
      <c r="AD4" s="214"/>
      <c r="AE4" s="214"/>
      <c r="AF4" s="214"/>
      <c r="AG4" s="214"/>
      <c r="AH4" s="214"/>
      <c r="AI4" s="214"/>
      <c r="AJ4" s="214"/>
      <c r="AK4" s="214"/>
      <c r="AL4" s="214"/>
      <c r="AM4" s="214"/>
      <c r="AN4" s="214"/>
      <c r="AO4" s="214"/>
      <c r="AP4" s="214"/>
      <c r="AQ4" s="214"/>
      <c r="AR4" s="214"/>
      <c r="AS4" s="214"/>
      <c r="AT4" s="214"/>
      <c r="AU4" s="214"/>
      <c r="AV4" s="214"/>
      <c r="AW4" s="214"/>
      <c r="AX4" s="214"/>
      <c r="AY4" s="214"/>
      <c r="AZ4" s="214"/>
      <c r="BA4" s="214"/>
      <c r="BB4" s="214"/>
      <c r="BC4" s="214"/>
      <c r="BD4" s="214"/>
      <c r="BE4" s="214"/>
      <c r="BF4" s="214"/>
      <c r="BG4" s="214"/>
      <c r="BH4" s="214"/>
      <c r="BI4" s="214"/>
      <c r="BJ4" s="214"/>
      <c r="BK4" s="214"/>
      <c r="BL4" s="214"/>
      <c r="BM4" s="214"/>
      <c r="BN4" s="214"/>
      <c r="BO4" s="214"/>
      <c r="BP4" s="214"/>
      <c r="BQ4" s="214"/>
      <c r="BR4" s="214"/>
    </row>
    <row r="5" spans="1:70" ht="15.75" customHeight="1" x14ac:dyDescent="0.2">
      <c r="A5" s="365"/>
      <c r="B5" s="368"/>
      <c r="C5" s="612" t="s">
        <v>0</v>
      </c>
      <c r="D5" s="613"/>
      <c r="E5" s="614"/>
      <c r="F5" s="554"/>
      <c r="G5" s="555"/>
      <c r="H5" s="555"/>
      <c r="I5" s="555"/>
      <c r="J5" s="555"/>
      <c r="K5" s="555"/>
      <c r="L5" s="556"/>
      <c r="M5" s="352"/>
      <c r="N5" s="352"/>
      <c r="O5" s="214"/>
      <c r="P5" s="214"/>
      <c r="Q5" s="214"/>
      <c r="R5" s="214"/>
      <c r="S5" s="214"/>
      <c r="T5" s="214"/>
      <c r="U5" s="214"/>
      <c r="V5" s="214"/>
      <c r="W5" s="214"/>
      <c r="X5" s="214"/>
      <c r="Y5" s="214"/>
      <c r="Z5" s="214"/>
      <c r="AA5" s="214"/>
      <c r="AB5" s="214"/>
      <c r="AC5" s="214"/>
      <c r="AD5" s="214"/>
      <c r="AE5" s="214"/>
      <c r="AF5" s="214"/>
      <c r="AG5" s="214"/>
      <c r="AH5" s="214"/>
      <c r="AI5" s="214"/>
      <c r="AJ5" s="214"/>
      <c r="AK5" s="214"/>
      <c r="AL5" s="214"/>
      <c r="AM5" s="214"/>
      <c r="AN5" s="214"/>
      <c r="AO5" s="214"/>
      <c r="AP5" s="214"/>
      <c r="AQ5" s="214"/>
      <c r="AR5" s="214"/>
      <c r="AS5" s="214"/>
      <c r="AT5" s="214"/>
      <c r="AU5" s="214"/>
      <c r="AV5" s="214"/>
      <c r="AW5" s="214"/>
      <c r="AX5" s="214"/>
      <c r="AY5" s="214"/>
      <c r="AZ5" s="214"/>
      <c r="BA5" s="214"/>
      <c r="BB5" s="214"/>
      <c r="BC5" s="214"/>
      <c r="BD5" s="214"/>
      <c r="BE5" s="214"/>
      <c r="BF5" s="214"/>
      <c r="BG5" s="214"/>
      <c r="BH5" s="214"/>
      <c r="BI5" s="214"/>
      <c r="BJ5" s="214"/>
      <c r="BK5" s="214"/>
      <c r="BL5" s="214"/>
      <c r="BM5" s="214"/>
      <c r="BN5" s="214"/>
      <c r="BO5" s="214"/>
      <c r="BP5" s="214"/>
      <c r="BQ5" s="214"/>
      <c r="BR5" s="214"/>
    </row>
    <row r="6" spans="1:70" ht="15" customHeight="1" x14ac:dyDescent="0.2">
      <c r="A6" s="365"/>
      <c r="B6" s="368"/>
      <c r="C6" s="537"/>
      <c r="D6" s="538"/>
      <c r="E6" s="539"/>
      <c r="F6" s="557"/>
      <c r="G6" s="558"/>
      <c r="H6" s="558"/>
      <c r="I6" s="558"/>
      <c r="J6" s="558"/>
      <c r="K6" s="558"/>
      <c r="L6" s="559"/>
      <c r="M6" s="352"/>
      <c r="N6" s="352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4"/>
      <c r="AG6" s="214"/>
      <c r="AH6" s="214"/>
      <c r="AI6" s="214"/>
      <c r="AJ6" s="214"/>
      <c r="AK6" s="214"/>
      <c r="AL6" s="214"/>
      <c r="AM6" s="214"/>
      <c r="AN6" s="214"/>
      <c r="AO6" s="214"/>
      <c r="AP6" s="214"/>
      <c r="AQ6" s="214"/>
      <c r="AR6" s="214"/>
      <c r="AS6" s="214"/>
      <c r="AT6" s="214"/>
      <c r="AU6" s="214"/>
      <c r="AV6" s="214"/>
      <c r="AW6" s="214"/>
      <c r="AX6" s="214"/>
      <c r="AY6" s="214"/>
      <c r="AZ6" s="214"/>
      <c r="BA6" s="214"/>
      <c r="BB6" s="214"/>
      <c r="BC6" s="214"/>
      <c r="BD6" s="214"/>
      <c r="BE6" s="214"/>
      <c r="BF6" s="214"/>
      <c r="BG6" s="214"/>
      <c r="BH6" s="214"/>
      <c r="BI6" s="214"/>
      <c r="BJ6" s="214"/>
      <c r="BK6" s="214"/>
      <c r="BL6" s="214"/>
      <c r="BM6" s="214"/>
      <c r="BN6" s="214"/>
      <c r="BO6" s="214"/>
      <c r="BP6" s="214"/>
      <c r="BQ6" s="214"/>
      <c r="BR6" s="214"/>
    </row>
    <row r="7" spans="1:70" ht="12.75" customHeight="1" x14ac:dyDescent="0.2">
      <c r="A7" s="365"/>
      <c r="B7" s="368"/>
      <c r="C7" s="537" t="s">
        <v>158</v>
      </c>
      <c r="D7" s="538"/>
      <c r="E7" s="539"/>
      <c r="F7" s="519"/>
      <c r="G7" s="520"/>
      <c r="H7" s="520"/>
      <c r="I7" s="520"/>
      <c r="J7" s="520"/>
      <c r="K7" s="520"/>
      <c r="L7" s="521"/>
      <c r="M7" s="352"/>
      <c r="N7" s="352"/>
      <c r="O7" s="214"/>
      <c r="P7" s="214"/>
      <c r="Q7" s="214"/>
      <c r="R7" s="214"/>
      <c r="S7" s="214"/>
      <c r="T7" s="214"/>
      <c r="U7" s="214"/>
      <c r="V7" s="214"/>
      <c r="W7" s="214"/>
      <c r="X7" s="214"/>
      <c r="Y7" s="214"/>
      <c r="Z7" s="214"/>
      <c r="AA7" s="214"/>
      <c r="AB7" s="214"/>
      <c r="AC7" s="214"/>
      <c r="AD7" s="214"/>
      <c r="AE7" s="214"/>
      <c r="AF7" s="214"/>
      <c r="AG7" s="214"/>
      <c r="AH7" s="214"/>
      <c r="AI7" s="214"/>
      <c r="AJ7" s="214"/>
      <c r="AK7" s="214"/>
      <c r="AL7" s="214"/>
      <c r="AM7" s="214"/>
      <c r="AN7" s="214"/>
      <c r="AO7" s="214"/>
      <c r="AP7" s="214"/>
      <c r="AQ7" s="214"/>
      <c r="AR7" s="214"/>
      <c r="AS7" s="214"/>
      <c r="AT7" s="214"/>
      <c r="AU7" s="214"/>
      <c r="AV7" s="214"/>
      <c r="AW7" s="214"/>
      <c r="AX7" s="214"/>
      <c r="AY7" s="214"/>
      <c r="AZ7" s="214"/>
      <c r="BA7" s="214"/>
      <c r="BB7" s="214"/>
      <c r="BC7" s="214"/>
      <c r="BD7" s="214"/>
      <c r="BE7" s="214"/>
      <c r="BF7" s="214"/>
      <c r="BG7" s="214"/>
      <c r="BH7" s="214"/>
      <c r="BI7" s="214"/>
      <c r="BJ7" s="214"/>
      <c r="BK7" s="214"/>
      <c r="BL7" s="214"/>
      <c r="BM7" s="214"/>
      <c r="BN7" s="214"/>
      <c r="BO7" s="214"/>
      <c r="BP7" s="214"/>
      <c r="BQ7" s="214"/>
      <c r="BR7" s="214"/>
    </row>
    <row r="8" spans="1:70" ht="12.75" customHeight="1" x14ac:dyDescent="0.2">
      <c r="A8" s="365"/>
      <c r="B8" s="368"/>
      <c r="C8" s="537"/>
      <c r="D8" s="538"/>
      <c r="E8" s="539"/>
      <c r="F8" s="519"/>
      <c r="G8" s="520"/>
      <c r="H8" s="520"/>
      <c r="I8" s="520"/>
      <c r="J8" s="520"/>
      <c r="K8" s="520"/>
      <c r="L8" s="521"/>
      <c r="M8" s="352"/>
      <c r="N8" s="352"/>
      <c r="O8" s="214"/>
      <c r="P8" s="214"/>
      <c r="Q8" s="214"/>
      <c r="R8" s="214"/>
      <c r="S8" s="214"/>
      <c r="T8" s="214"/>
      <c r="U8" s="214"/>
      <c r="V8" s="214"/>
      <c r="W8" s="214"/>
      <c r="X8" s="214"/>
      <c r="Y8" s="214"/>
      <c r="Z8" s="214"/>
      <c r="AA8" s="214"/>
      <c r="AB8" s="214"/>
      <c r="AC8" s="214"/>
      <c r="AD8" s="214"/>
      <c r="AE8" s="214"/>
      <c r="AF8" s="214"/>
      <c r="AG8" s="214"/>
      <c r="AH8" s="214"/>
      <c r="AI8" s="214"/>
      <c r="AJ8" s="214"/>
      <c r="AK8" s="214"/>
      <c r="AL8" s="214"/>
      <c r="AM8" s="214"/>
      <c r="AN8" s="214"/>
      <c r="AO8" s="214"/>
      <c r="AP8" s="214"/>
      <c r="AQ8" s="214"/>
      <c r="AR8" s="214"/>
      <c r="AS8" s="214"/>
      <c r="AT8" s="214"/>
      <c r="AU8" s="214"/>
      <c r="AV8" s="214"/>
      <c r="AW8" s="214"/>
      <c r="AX8" s="214"/>
      <c r="AY8" s="214"/>
      <c r="AZ8" s="214"/>
      <c r="BA8" s="214"/>
      <c r="BB8" s="214"/>
      <c r="BC8" s="214"/>
      <c r="BD8" s="214"/>
      <c r="BE8" s="214"/>
      <c r="BF8" s="214"/>
      <c r="BG8" s="214"/>
      <c r="BH8" s="214"/>
      <c r="BI8" s="214"/>
      <c r="BJ8" s="214"/>
      <c r="BK8" s="214"/>
      <c r="BL8" s="214"/>
      <c r="BM8" s="214"/>
      <c r="BN8" s="214"/>
      <c r="BO8" s="214"/>
      <c r="BP8" s="214"/>
      <c r="BQ8" s="214"/>
      <c r="BR8" s="214"/>
    </row>
    <row r="9" spans="1:70" ht="12.75" customHeight="1" x14ac:dyDescent="0.2">
      <c r="A9" s="365"/>
      <c r="B9" s="368"/>
      <c r="C9" s="537" t="s">
        <v>159</v>
      </c>
      <c r="D9" s="538"/>
      <c r="E9" s="539"/>
      <c r="F9" s="519"/>
      <c r="G9" s="520"/>
      <c r="H9" s="520"/>
      <c r="I9" s="520"/>
      <c r="J9" s="520"/>
      <c r="K9" s="520"/>
      <c r="L9" s="521"/>
      <c r="M9" s="352"/>
      <c r="N9" s="352"/>
      <c r="O9" s="215"/>
      <c r="P9" s="215"/>
      <c r="Q9" s="215"/>
      <c r="R9" s="215"/>
      <c r="S9" s="215"/>
      <c r="T9" s="215"/>
      <c r="U9" s="215"/>
      <c r="V9" s="215"/>
      <c r="W9" s="215"/>
      <c r="X9" s="215"/>
      <c r="Y9" s="215"/>
      <c r="Z9" s="215"/>
      <c r="AA9" s="214"/>
      <c r="AB9" s="214"/>
      <c r="AC9" s="214"/>
      <c r="AD9" s="214"/>
      <c r="AE9" s="214"/>
      <c r="AF9" s="214"/>
      <c r="AG9" s="214"/>
      <c r="AH9" s="214"/>
      <c r="AI9" s="214"/>
      <c r="AJ9" s="214"/>
      <c r="AK9" s="214"/>
      <c r="AL9" s="214"/>
      <c r="AM9" s="214"/>
      <c r="AN9" s="214"/>
      <c r="AO9" s="214"/>
      <c r="AP9" s="214"/>
      <c r="AQ9" s="214"/>
      <c r="AR9" s="214"/>
      <c r="AS9" s="214"/>
      <c r="AT9" s="214"/>
      <c r="AU9" s="214"/>
      <c r="AV9" s="214"/>
      <c r="AW9" s="214"/>
      <c r="AX9" s="214"/>
      <c r="AY9" s="214"/>
      <c r="AZ9" s="214"/>
      <c r="BA9" s="214"/>
      <c r="BB9" s="214"/>
      <c r="BC9" s="214"/>
      <c r="BD9" s="214"/>
      <c r="BE9" s="214"/>
      <c r="BF9" s="214"/>
      <c r="BG9" s="214"/>
      <c r="BH9" s="214"/>
      <c r="BI9" s="214"/>
      <c r="BJ9" s="214"/>
      <c r="BK9" s="214"/>
      <c r="BL9" s="214"/>
      <c r="BM9" s="214"/>
      <c r="BN9" s="214"/>
      <c r="BO9" s="214"/>
      <c r="BP9" s="214"/>
      <c r="BQ9" s="214"/>
      <c r="BR9" s="214"/>
    </row>
    <row r="10" spans="1:70" ht="12.75" customHeight="1" x14ac:dyDescent="0.2">
      <c r="A10" s="365"/>
      <c r="B10" s="368"/>
      <c r="C10" s="537" t="s">
        <v>326</v>
      </c>
      <c r="D10" s="538"/>
      <c r="E10" s="539"/>
      <c r="F10" s="519"/>
      <c r="G10" s="520"/>
      <c r="H10" s="520"/>
      <c r="I10" s="520"/>
      <c r="J10" s="520"/>
      <c r="K10" s="520"/>
      <c r="L10" s="521"/>
      <c r="M10" s="352"/>
      <c r="N10" s="352"/>
      <c r="O10" s="215"/>
      <c r="P10" s="215"/>
      <c r="Q10" s="215"/>
      <c r="R10" s="215"/>
      <c r="S10" s="215"/>
      <c r="T10" s="215"/>
      <c r="U10" s="215"/>
      <c r="V10" s="215"/>
      <c r="W10" s="215"/>
      <c r="X10" s="215"/>
      <c r="Y10" s="215"/>
      <c r="Z10" s="215"/>
      <c r="AA10" s="214"/>
      <c r="AB10" s="214"/>
      <c r="AC10" s="214"/>
      <c r="AD10" s="214"/>
      <c r="AE10" s="214"/>
      <c r="AF10" s="214"/>
      <c r="AG10" s="214"/>
      <c r="AH10" s="214"/>
      <c r="AI10" s="214"/>
      <c r="AJ10" s="214"/>
      <c r="AK10" s="214"/>
      <c r="AL10" s="214"/>
      <c r="AM10" s="214"/>
      <c r="AN10" s="214"/>
      <c r="AO10" s="214"/>
      <c r="AP10" s="214"/>
      <c r="AQ10" s="214"/>
      <c r="AR10" s="214"/>
      <c r="AS10" s="214"/>
      <c r="AT10" s="214"/>
      <c r="AU10" s="214"/>
      <c r="AV10" s="214"/>
      <c r="AW10" s="214"/>
      <c r="AX10" s="214"/>
      <c r="AY10" s="214"/>
      <c r="AZ10" s="214"/>
      <c r="BA10" s="214"/>
      <c r="BB10" s="214"/>
      <c r="BC10" s="214"/>
      <c r="BD10" s="214"/>
      <c r="BE10" s="214"/>
      <c r="BF10" s="214"/>
      <c r="BG10" s="214"/>
      <c r="BH10" s="214"/>
      <c r="BI10" s="214"/>
      <c r="BJ10" s="214"/>
      <c r="BK10" s="214"/>
      <c r="BL10" s="214"/>
      <c r="BM10" s="214"/>
      <c r="BN10" s="214"/>
      <c r="BO10" s="214"/>
      <c r="BP10" s="214"/>
      <c r="BQ10" s="214"/>
      <c r="BR10" s="214"/>
    </row>
    <row r="11" spans="1:70" ht="13.5" customHeight="1" x14ac:dyDescent="0.25">
      <c r="A11" s="365"/>
      <c r="B11" s="368"/>
      <c r="C11" s="522" t="s">
        <v>21</v>
      </c>
      <c r="D11" s="523"/>
      <c r="E11" s="524"/>
      <c r="F11" s="531"/>
      <c r="G11" s="532"/>
      <c r="H11" s="532"/>
      <c r="I11" s="532"/>
      <c r="J11" s="532"/>
      <c r="K11" s="532"/>
      <c r="L11" s="533"/>
      <c r="M11" s="352"/>
      <c r="N11" s="352"/>
      <c r="O11" s="216"/>
      <c r="P11" s="215"/>
      <c r="Q11" s="215"/>
      <c r="R11" s="215"/>
      <c r="S11" s="215"/>
      <c r="T11" s="215"/>
      <c r="U11" s="215"/>
      <c r="V11" s="215"/>
      <c r="W11" s="215"/>
      <c r="X11" s="215"/>
      <c r="Y11" s="215"/>
      <c r="Z11" s="215"/>
      <c r="AA11" s="214"/>
      <c r="AB11" s="214"/>
      <c r="AC11" s="214"/>
      <c r="AD11" s="214"/>
      <c r="AE11" s="214"/>
      <c r="AF11" s="214"/>
      <c r="AG11" s="214"/>
      <c r="AH11" s="214"/>
      <c r="AI11" s="214"/>
      <c r="AJ11" s="214"/>
      <c r="AK11" s="214"/>
      <c r="AL11" s="214"/>
      <c r="AM11" s="214"/>
      <c r="AN11" s="214"/>
      <c r="AO11" s="214"/>
      <c r="AP11" s="214"/>
      <c r="AQ11" s="214"/>
      <c r="AR11" s="214"/>
      <c r="AS11" s="214"/>
      <c r="AT11" s="214"/>
      <c r="AU11" s="214"/>
      <c r="AV11" s="214"/>
      <c r="AW11" s="214"/>
      <c r="AX11" s="214"/>
      <c r="AY11" s="214"/>
      <c r="AZ11" s="214"/>
      <c r="BA11" s="214"/>
      <c r="BB11" s="214"/>
      <c r="BC11" s="214"/>
      <c r="BD11" s="214"/>
      <c r="BE11" s="214"/>
      <c r="BF11" s="214"/>
      <c r="BG11" s="214"/>
      <c r="BH11" s="214"/>
      <c r="BI11" s="214"/>
      <c r="BJ11" s="214"/>
      <c r="BK11" s="214"/>
      <c r="BL11" s="214"/>
      <c r="BM11" s="214"/>
      <c r="BN11" s="214"/>
      <c r="BO11" s="214"/>
      <c r="BP11" s="214"/>
      <c r="BQ11" s="214"/>
      <c r="BR11" s="214"/>
    </row>
    <row r="12" spans="1:70" ht="13.5" customHeight="1" x14ac:dyDescent="0.25">
      <c r="A12" s="365"/>
      <c r="B12" s="368"/>
      <c r="C12" s="522" t="s">
        <v>373</v>
      </c>
      <c r="D12" s="523"/>
      <c r="E12" s="524"/>
      <c r="F12" s="531"/>
      <c r="G12" s="532"/>
      <c r="H12" s="532"/>
      <c r="I12" s="532"/>
      <c r="J12" s="532"/>
      <c r="K12" s="532"/>
      <c r="L12" s="533"/>
      <c r="M12" s="352"/>
      <c r="N12" s="352"/>
      <c r="O12" s="216"/>
      <c r="P12" s="215"/>
      <c r="Q12" s="215"/>
      <c r="R12" s="215"/>
      <c r="S12" s="215"/>
      <c r="T12" s="215"/>
      <c r="U12" s="215"/>
      <c r="V12" s="215"/>
      <c r="W12" s="215"/>
      <c r="X12" s="215"/>
      <c r="Y12" s="215"/>
      <c r="Z12" s="215"/>
      <c r="AA12" s="214"/>
      <c r="AB12" s="214"/>
      <c r="AC12" s="214"/>
      <c r="AD12" s="214"/>
      <c r="AE12" s="214"/>
      <c r="AF12" s="214"/>
      <c r="AG12" s="214"/>
      <c r="AH12" s="214"/>
      <c r="AI12" s="214"/>
      <c r="AJ12" s="214"/>
      <c r="AK12" s="214"/>
      <c r="AL12" s="214"/>
      <c r="AM12" s="214"/>
      <c r="AN12" s="214"/>
      <c r="AO12" s="214"/>
      <c r="AP12" s="214"/>
      <c r="AQ12" s="214"/>
      <c r="AR12" s="214"/>
      <c r="AS12" s="214"/>
      <c r="AT12" s="214"/>
      <c r="AU12" s="214"/>
      <c r="AV12" s="214"/>
      <c r="AW12" s="214"/>
      <c r="AX12" s="214"/>
      <c r="AY12" s="214"/>
      <c r="AZ12" s="214"/>
      <c r="BA12" s="214"/>
      <c r="BB12" s="214"/>
      <c r="BC12" s="214"/>
      <c r="BD12" s="214"/>
      <c r="BE12" s="214"/>
      <c r="BF12" s="214"/>
      <c r="BG12" s="214"/>
      <c r="BH12" s="214"/>
      <c r="BI12" s="214"/>
      <c r="BJ12" s="214"/>
      <c r="BK12" s="214"/>
      <c r="BL12" s="214"/>
      <c r="BM12" s="214"/>
      <c r="BN12" s="214"/>
      <c r="BO12" s="214"/>
      <c r="BP12" s="214"/>
      <c r="BQ12" s="214"/>
      <c r="BR12" s="214"/>
    </row>
    <row r="13" spans="1:70" ht="15.75" customHeight="1" x14ac:dyDescent="0.25">
      <c r="A13" s="365"/>
      <c r="B13" s="368"/>
      <c r="C13" s="522" t="s">
        <v>55</v>
      </c>
      <c r="D13" s="523"/>
      <c r="E13" s="524"/>
      <c r="F13" s="525"/>
      <c r="G13" s="526"/>
      <c r="H13" s="526"/>
      <c r="I13" s="526"/>
      <c r="J13" s="526"/>
      <c r="K13" s="526"/>
      <c r="L13" s="527"/>
      <c r="M13" s="352"/>
      <c r="N13" s="352"/>
      <c r="O13" s="215"/>
      <c r="P13" s="215"/>
      <c r="Q13" s="215"/>
      <c r="R13" s="215"/>
      <c r="S13" s="215"/>
      <c r="T13" s="215"/>
      <c r="U13" s="215"/>
      <c r="V13" s="215"/>
      <c r="W13" s="215"/>
      <c r="X13" s="215"/>
      <c r="Y13" s="215"/>
      <c r="Z13" s="215"/>
      <c r="AA13" s="214"/>
      <c r="AB13" s="214"/>
      <c r="AC13" s="214"/>
      <c r="AD13" s="214"/>
      <c r="AE13" s="214"/>
      <c r="AF13" s="214"/>
      <c r="AG13" s="214"/>
      <c r="AH13" s="214"/>
      <c r="AI13" s="214"/>
      <c r="AJ13" s="214"/>
      <c r="AK13" s="214"/>
      <c r="AL13" s="214"/>
      <c r="AM13" s="214"/>
      <c r="AN13" s="214"/>
      <c r="AO13" s="214"/>
      <c r="AP13" s="214"/>
      <c r="AQ13" s="214"/>
      <c r="AR13" s="214"/>
      <c r="AS13" s="214"/>
      <c r="AT13" s="214"/>
      <c r="AU13" s="214"/>
      <c r="AV13" s="214"/>
      <c r="AW13" s="214"/>
      <c r="AX13" s="214"/>
      <c r="AY13" s="214"/>
      <c r="AZ13" s="214"/>
      <c r="BA13" s="214"/>
      <c r="BB13" s="214"/>
      <c r="BC13" s="214"/>
      <c r="BD13" s="214"/>
      <c r="BE13" s="214"/>
      <c r="BF13" s="214"/>
      <c r="BG13" s="214"/>
      <c r="BH13" s="214"/>
      <c r="BI13" s="214"/>
      <c r="BJ13" s="214"/>
      <c r="BK13" s="214"/>
      <c r="BL13" s="214"/>
      <c r="BM13" s="214"/>
      <c r="BN13" s="214"/>
      <c r="BO13" s="214"/>
      <c r="BP13" s="214"/>
      <c r="BQ13" s="214"/>
      <c r="BR13" s="214"/>
    </row>
    <row r="14" spans="1:70" ht="15.75" customHeight="1" thickBot="1" x14ac:dyDescent="0.3">
      <c r="A14" s="450"/>
      <c r="B14" s="451"/>
      <c r="C14" s="528" t="s">
        <v>22</v>
      </c>
      <c r="D14" s="529"/>
      <c r="E14" s="530"/>
      <c r="F14" s="534"/>
      <c r="G14" s="535"/>
      <c r="H14" s="535"/>
      <c r="I14" s="535"/>
      <c r="J14" s="535"/>
      <c r="K14" s="535"/>
      <c r="L14" s="536"/>
      <c r="M14" s="352"/>
      <c r="N14" s="352"/>
      <c r="O14" s="216"/>
      <c r="P14" s="216"/>
      <c r="Q14" s="216"/>
      <c r="R14" s="216"/>
      <c r="S14" s="216"/>
      <c r="T14" s="216"/>
      <c r="U14" s="216"/>
      <c r="V14" s="215"/>
      <c r="W14" s="215"/>
      <c r="X14" s="215"/>
      <c r="Y14" s="215"/>
      <c r="Z14" s="215"/>
      <c r="AA14" s="214"/>
      <c r="AB14" s="214"/>
      <c r="AC14" s="214"/>
      <c r="AD14" s="214"/>
      <c r="AE14" s="214"/>
      <c r="AF14" s="214"/>
      <c r="AG14" s="214"/>
      <c r="AH14" s="214"/>
      <c r="AI14" s="214"/>
      <c r="AJ14" s="214"/>
      <c r="AK14" s="214"/>
      <c r="AL14" s="214"/>
      <c r="AM14" s="214"/>
      <c r="AN14" s="214"/>
      <c r="AO14" s="214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4"/>
      <c r="BB14" s="214"/>
      <c r="BC14" s="214"/>
      <c r="BD14" s="214"/>
      <c r="BE14" s="214"/>
      <c r="BF14" s="214"/>
      <c r="BG14" s="214"/>
      <c r="BH14" s="214"/>
      <c r="BI14" s="214"/>
      <c r="BJ14" s="214"/>
      <c r="BK14" s="214"/>
      <c r="BL14" s="214"/>
      <c r="BM14" s="214"/>
      <c r="BN14" s="214"/>
      <c r="BO14" s="214"/>
      <c r="BP14" s="214"/>
      <c r="BQ14" s="214"/>
      <c r="BR14" s="214"/>
    </row>
    <row r="15" spans="1:70" ht="15.75" customHeight="1" thickBot="1" x14ac:dyDescent="0.3">
      <c r="A15" s="363" t="s">
        <v>325</v>
      </c>
      <c r="B15" s="367"/>
      <c r="C15" s="481" t="s">
        <v>145</v>
      </c>
      <c r="D15" s="482"/>
      <c r="E15" s="161" t="s">
        <v>146</v>
      </c>
      <c r="F15" s="195">
        <f>'Soil Model'!F22</f>
        <v>0</v>
      </c>
      <c r="G15" s="261" t="s">
        <v>6</v>
      </c>
      <c r="H15" s="540" t="s">
        <v>400</v>
      </c>
      <c r="I15" s="541"/>
      <c r="J15" s="541"/>
      <c r="K15" s="618">
        <f>'Soil Model'!G22</f>
        <v>0</v>
      </c>
      <c r="L15" s="619"/>
      <c r="M15" s="352"/>
      <c r="N15" s="352"/>
      <c r="O15" s="216"/>
      <c r="P15" s="216"/>
      <c r="Q15" s="216"/>
      <c r="R15" s="216"/>
      <c r="S15" s="216"/>
      <c r="T15" s="216"/>
      <c r="U15" s="216"/>
      <c r="V15" s="215"/>
      <c r="W15" s="215"/>
      <c r="X15" s="215"/>
      <c r="Y15" s="215"/>
      <c r="Z15" s="215"/>
      <c r="AA15" s="214"/>
      <c r="AB15" s="214"/>
      <c r="AC15" s="214"/>
      <c r="AD15" s="214"/>
      <c r="AE15" s="214"/>
      <c r="AF15" s="214"/>
      <c r="AG15" s="214"/>
      <c r="AH15" s="214"/>
      <c r="AI15" s="214"/>
      <c r="AJ15" s="214"/>
      <c r="AK15" s="214"/>
      <c r="AL15" s="214"/>
      <c r="AM15" s="214"/>
      <c r="AN15" s="214"/>
      <c r="AO15" s="214"/>
      <c r="AP15" s="214"/>
      <c r="AQ15" s="214"/>
      <c r="AR15" s="214"/>
      <c r="AS15" s="214"/>
      <c r="AT15" s="214"/>
      <c r="AU15" s="214"/>
      <c r="AV15" s="214"/>
      <c r="AW15" s="214"/>
      <c r="AX15" s="214"/>
      <c r="AY15" s="214"/>
      <c r="AZ15" s="214"/>
      <c r="BA15" s="214"/>
      <c r="BB15" s="214"/>
      <c r="BC15" s="214"/>
      <c r="BD15" s="214"/>
      <c r="BE15" s="214"/>
      <c r="BF15" s="214"/>
      <c r="BG15" s="214"/>
      <c r="BH15" s="214"/>
      <c r="BI15" s="214"/>
      <c r="BJ15" s="214"/>
      <c r="BK15" s="214"/>
      <c r="BL15" s="214"/>
      <c r="BM15" s="214"/>
      <c r="BN15" s="214"/>
      <c r="BO15" s="214"/>
      <c r="BP15" s="214"/>
      <c r="BQ15" s="214"/>
      <c r="BR15" s="214"/>
    </row>
    <row r="16" spans="1:70" ht="15.75" customHeight="1" thickBot="1" x14ac:dyDescent="0.3">
      <c r="A16" s="450"/>
      <c r="B16" s="451"/>
      <c r="C16" s="483"/>
      <c r="D16" s="484"/>
      <c r="E16" s="162" t="s">
        <v>147</v>
      </c>
      <c r="F16" s="196">
        <f>'Soil Model'!F23</f>
        <v>0</v>
      </c>
      <c r="G16" s="262" t="s">
        <v>6</v>
      </c>
      <c r="H16" s="163"/>
      <c r="I16" s="163"/>
      <c r="J16" s="163"/>
      <c r="K16" s="163"/>
      <c r="L16" s="164"/>
      <c r="M16" s="352"/>
      <c r="N16" s="352"/>
      <c r="O16" s="216"/>
      <c r="P16" s="216"/>
      <c r="Q16" s="216"/>
      <c r="R16" s="216"/>
      <c r="S16" s="216"/>
      <c r="T16" s="216"/>
      <c r="U16" s="216"/>
      <c r="V16" s="215"/>
      <c r="W16" s="215"/>
      <c r="X16" s="215"/>
      <c r="Y16" s="215"/>
      <c r="Z16" s="215"/>
      <c r="AA16" s="214"/>
      <c r="AB16" s="214"/>
      <c r="AC16" s="214"/>
      <c r="AD16" s="214"/>
      <c r="AE16" s="214"/>
      <c r="AF16" s="214"/>
      <c r="AG16" s="214"/>
      <c r="AH16" s="214"/>
      <c r="AI16" s="214"/>
      <c r="AJ16" s="214"/>
      <c r="AK16" s="214"/>
      <c r="AL16" s="214"/>
      <c r="AM16" s="214"/>
      <c r="AN16" s="214"/>
      <c r="AO16" s="214"/>
      <c r="AP16" s="214"/>
      <c r="AQ16" s="214"/>
      <c r="AR16" s="214"/>
      <c r="AS16" s="214"/>
      <c r="AT16" s="214"/>
      <c r="AU16" s="214"/>
      <c r="AV16" s="214"/>
      <c r="AW16" s="214"/>
      <c r="AX16" s="214"/>
      <c r="AY16" s="214"/>
      <c r="AZ16" s="214"/>
      <c r="BA16" s="214"/>
      <c r="BB16" s="214"/>
      <c r="BC16" s="214"/>
      <c r="BD16" s="214"/>
      <c r="BE16" s="214"/>
      <c r="BF16" s="214"/>
      <c r="BG16" s="214"/>
      <c r="BH16" s="214"/>
      <c r="BI16" s="214"/>
      <c r="BJ16" s="214"/>
      <c r="BK16" s="214"/>
      <c r="BL16" s="214"/>
      <c r="BM16" s="214"/>
      <c r="BN16" s="214"/>
      <c r="BO16" s="214"/>
      <c r="BP16" s="214"/>
      <c r="BQ16" s="214"/>
      <c r="BR16" s="214"/>
    </row>
    <row r="17" spans="1:70" ht="15.75" customHeight="1" x14ac:dyDescent="0.25">
      <c r="A17" s="513" t="s">
        <v>26</v>
      </c>
      <c r="B17" s="514"/>
      <c r="C17" s="563" t="s">
        <v>20</v>
      </c>
      <c r="D17" s="564"/>
      <c r="E17" s="565"/>
      <c r="F17" s="542"/>
      <c r="G17" s="542"/>
      <c r="H17" s="542"/>
      <c r="I17" s="542"/>
      <c r="J17" s="542"/>
      <c r="K17" s="542"/>
      <c r="L17" s="543"/>
      <c r="M17" s="352"/>
      <c r="N17" s="352"/>
      <c r="O17" s="216"/>
      <c r="P17" s="216"/>
      <c r="Q17" s="216"/>
      <c r="R17" s="216"/>
      <c r="S17" s="216"/>
      <c r="T17" s="216"/>
      <c r="U17" s="216"/>
      <c r="V17" s="215"/>
      <c r="W17" s="215"/>
      <c r="X17" s="215"/>
      <c r="Y17" s="215"/>
      <c r="Z17" s="215"/>
      <c r="AA17" s="214"/>
      <c r="AB17" s="214"/>
      <c r="AC17" s="214"/>
      <c r="AD17" s="214"/>
      <c r="AE17" s="214"/>
      <c r="AF17" s="214"/>
      <c r="AG17" s="214"/>
      <c r="AH17" s="214"/>
      <c r="AI17" s="214"/>
      <c r="AJ17" s="214"/>
      <c r="AK17" s="214"/>
      <c r="AL17" s="214"/>
      <c r="AM17" s="214"/>
      <c r="AN17" s="214"/>
      <c r="AO17" s="214"/>
      <c r="AP17" s="214"/>
      <c r="AQ17" s="214"/>
      <c r="AR17" s="214"/>
      <c r="AS17" s="214"/>
      <c r="AT17" s="214"/>
      <c r="AU17" s="214"/>
      <c r="AV17" s="214"/>
      <c r="AW17" s="214"/>
      <c r="AX17" s="214"/>
      <c r="AY17" s="214"/>
      <c r="AZ17" s="214"/>
      <c r="BA17" s="214"/>
      <c r="BB17" s="214"/>
      <c r="BC17" s="214"/>
      <c r="BD17" s="214"/>
      <c r="BE17" s="214"/>
      <c r="BF17" s="214"/>
      <c r="BG17" s="214"/>
      <c r="BH17" s="214"/>
      <c r="BI17" s="214"/>
      <c r="BJ17" s="214"/>
      <c r="BK17" s="214"/>
      <c r="BL17" s="214"/>
      <c r="BM17" s="214"/>
      <c r="BN17" s="214"/>
      <c r="BO17" s="214"/>
      <c r="BP17" s="214"/>
      <c r="BQ17" s="214"/>
      <c r="BR17" s="214"/>
    </row>
    <row r="18" spans="1:70" ht="15.75" customHeight="1" thickBot="1" x14ac:dyDescent="0.3">
      <c r="A18" s="515"/>
      <c r="B18" s="516"/>
      <c r="C18" s="504"/>
      <c r="D18" s="505"/>
      <c r="E18" s="506"/>
      <c r="F18" s="551">
        <v>6</v>
      </c>
      <c r="G18" s="552"/>
      <c r="H18" s="552"/>
      <c r="I18" s="552"/>
      <c r="J18" s="552"/>
      <c r="K18" s="552"/>
      <c r="L18" s="553"/>
      <c r="M18" s="352"/>
      <c r="N18" s="352"/>
      <c r="O18" s="216"/>
      <c r="P18" s="216"/>
      <c r="Q18" s="216"/>
      <c r="R18" s="216"/>
      <c r="S18" s="216"/>
      <c r="T18" s="216"/>
      <c r="U18" s="216"/>
      <c r="V18" s="215"/>
      <c r="W18" s="215"/>
      <c r="X18" s="215"/>
      <c r="Y18" s="215"/>
      <c r="Z18" s="215"/>
      <c r="AA18" s="214"/>
      <c r="AB18" s="214"/>
      <c r="AC18" s="214"/>
      <c r="AD18" s="214"/>
      <c r="AE18" s="214"/>
      <c r="AF18" s="214"/>
      <c r="AG18" s="214"/>
      <c r="AH18" s="214"/>
      <c r="AI18" s="214"/>
      <c r="AJ18" s="214"/>
      <c r="AK18" s="214"/>
      <c r="AL18" s="214"/>
      <c r="AM18" s="214"/>
      <c r="AN18" s="214"/>
      <c r="AO18" s="214"/>
      <c r="AP18" s="214"/>
      <c r="AQ18" s="214"/>
      <c r="AR18" s="214"/>
      <c r="AS18" s="214"/>
      <c r="AT18" s="214"/>
      <c r="AU18" s="214"/>
      <c r="AV18" s="214"/>
      <c r="AW18" s="214"/>
      <c r="AX18" s="214"/>
      <c r="AY18" s="214"/>
      <c r="AZ18" s="214"/>
      <c r="BA18" s="214"/>
      <c r="BB18" s="214"/>
      <c r="BC18" s="214"/>
      <c r="BD18" s="214"/>
      <c r="BE18" s="214"/>
      <c r="BF18" s="214"/>
      <c r="BG18" s="214"/>
      <c r="BH18" s="214"/>
      <c r="BI18" s="214"/>
      <c r="BJ18" s="214"/>
      <c r="BK18" s="214"/>
      <c r="BL18" s="214"/>
      <c r="BM18" s="214"/>
      <c r="BN18" s="214"/>
      <c r="BO18" s="214"/>
      <c r="BP18" s="214"/>
      <c r="BQ18" s="214"/>
      <c r="BR18" s="214"/>
    </row>
    <row r="19" spans="1:70" ht="15.75" thickBot="1" x14ac:dyDescent="0.3">
      <c r="A19" s="515"/>
      <c r="B19" s="516"/>
      <c r="C19" s="499" t="s">
        <v>19</v>
      </c>
      <c r="D19" s="500"/>
      <c r="E19" s="501"/>
      <c r="F19" s="233"/>
      <c r="G19" s="235"/>
      <c r="H19" s="235"/>
      <c r="I19" s="235"/>
      <c r="J19" s="235"/>
      <c r="K19" s="235"/>
      <c r="L19" s="236"/>
      <c r="M19" s="352"/>
      <c r="N19" s="352"/>
      <c r="O19" s="215"/>
      <c r="P19" s="230"/>
      <c r="Q19" s="230"/>
      <c r="R19" s="230"/>
      <c r="S19" s="231"/>
      <c r="T19" s="230"/>
      <c r="U19" s="230"/>
      <c r="V19" s="215"/>
      <c r="W19" s="215"/>
      <c r="X19" s="215"/>
      <c r="Y19" s="215"/>
      <c r="Z19" s="215"/>
      <c r="AA19" s="214"/>
      <c r="AB19" s="214"/>
      <c r="AC19" s="214"/>
      <c r="AD19" s="214"/>
      <c r="AE19" s="214"/>
      <c r="AF19" s="214"/>
      <c r="AG19" s="214"/>
      <c r="AH19" s="214"/>
      <c r="AI19" s="214"/>
      <c r="AJ19" s="214"/>
      <c r="AK19" s="214"/>
      <c r="AL19" s="214"/>
      <c r="AM19" s="214"/>
      <c r="AN19" s="214"/>
      <c r="AO19" s="214"/>
      <c r="AP19" s="214"/>
      <c r="AQ19" s="214"/>
      <c r="AR19" s="214"/>
      <c r="AS19" s="214"/>
      <c r="AT19" s="214"/>
      <c r="AU19" s="214"/>
      <c r="AV19" s="214"/>
      <c r="AW19" s="214"/>
      <c r="AX19" s="214"/>
      <c r="AY19" s="214"/>
      <c r="AZ19" s="214"/>
      <c r="BA19" s="214"/>
      <c r="BB19" s="214"/>
      <c r="BC19" s="214"/>
      <c r="BD19" s="214"/>
      <c r="BE19" s="214"/>
      <c r="BF19" s="214"/>
      <c r="BG19" s="214"/>
      <c r="BH19" s="214"/>
      <c r="BI19" s="214"/>
      <c r="BJ19" s="214"/>
      <c r="BK19" s="214"/>
      <c r="BL19" s="214"/>
      <c r="BM19" s="214"/>
      <c r="BN19" s="214"/>
      <c r="BO19" s="214"/>
      <c r="BP19" s="214"/>
      <c r="BQ19" s="214"/>
      <c r="BR19" s="214"/>
    </row>
    <row r="20" spans="1:70" ht="15.75" thickBot="1" x14ac:dyDescent="0.3">
      <c r="A20" s="517"/>
      <c r="B20" s="518"/>
      <c r="C20" s="485" t="s">
        <v>1</v>
      </c>
      <c r="D20" s="486"/>
      <c r="E20" s="487"/>
      <c r="F20" s="234"/>
      <c r="G20" s="235"/>
      <c r="H20" s="237"/>
      <c r="I20" s="237"/>
      <c r="J20" s="237"/>
      <c r="K20" s="237"/>
      <c r="L20" s="238" t="s">
        <v>427</v>
      </c>
      <c r="M20" s="352"/>
      <c r="N20" s="352"/>
      <c r="O20" s="218"/>
      <c r="P20" s="230"/>
      <c r="Q20" s="230"/>
      <c r="R20" s="230"/>
      <c r="S20" s="230"/>
      <c r="T20" s="230"/>
      <c r="U20" s="230"/>
      <c r="V20" s="218"/>
      <c r="W20" s="218"/>
      <c r="X20" s="218"/>
      <c r="Y20" s="218"/>
      <c r="Z20" s="215"/>
      <c r="AA20" s="214"/>
      <c r="AB20" s="214"/>
      <c r="AC20" s="214"/>
      <c r="AD20" s="214"/>
      <c r="AE20" s="214"/>
      <c r="AF20" s="214"/>
      <c r="AG20" s="214"/>
      <c r="AH20" s="214"/>
      <c r="AI20" s="214"/>
      <c r="AJ20" s="214"/>
      <c r="AK20" s="214"/>
      <c r="AL20" s="214"/>
      <c r="AM20" s="214"/>
      <c r="AN20" s="214"/>
      <c r="AO20" s="214"/>
      <c r="AP20" s="214"/>
      <c r="AQ20" s="214"/>
      <c r="AR20" s="214"/>
      <c r="AS20" s="214"/>
      <c r="AT20" s="214"/>
      <c r="AU20" s="214"/>
      <c r="AV20" s="214"/>
      <c r="AW20" s="214"/>
      <c r="AX20" s="214"/>
      <c r="AY20" s="214"/>
      <c r="AZ20" s="214"/>
      <c r="BA20" s="214"/>
      <c r="BB20" s="214"/>
      <c r="BC20" s="214"/>
      <c r="BD20" s="214"/>
      <c r="BE20" s="214"/>
      <c r="BF20" s="214"/>
      <c r="BG20" s="214"/>
      <c r="BH20" s="214"/>
      <c r="BI20" s="214"/>
      <c r="BJ20" s="214"/>
      <c r="BK20" s="214"/>
      <c r="BL20" s="214"/>
      <c r="BM20" s="214"/>
      <c r="BN20" s="214"/>
      <c r="BO20" s="214"/>
      <c r="BP20" s="214"/>
      <c r="BQ20" s="214"/>
      <c r="BR20" s="214"/>
    </row>
    <row r="21" spans="1:70" ht="33" customHeight="1" thickBot="1" x14ac:dyDescent="0.25">
      <c r="A21" s="354" t="s">
        <v>29</v>
      </c>
      <c r="B21" s="355"/>
      <c r="C21" s="488" t="s">
        <v>37</v>
      </c>
      <c r="D21" s="489"/>
      <c r="E21" s="490"/>
      <c r="F21" s="197"/>
      <c r="G21" s="165"/>
      <c r="H21" s="620" t="s">
        <v>27</v>
      </c>
      <c r="I21" s="621"/>
      <c r="J21" s="622"/>
      <c r="K21" s="272"/>
      <c r="L21" s="273"/>
      <c r="M21" s="352"/>
      <c r="N21" s="352"/>
      <c r="O21" s="218"/>
      <c r="P21" s="230"/>
      <c r="Q21" s="230"/>
      <c r="R21" s="230"/>
      <c r="S21" s="230"/>
      <c r="T21" s="230"/>
      <c r="U21" s="230"/>
      <c r="V21" s="218"/>
      <c r="W21" s="218"/>
      <c r="X21" s="218"/>
      <c r="Y21" s="218"/>
      <c r="Z21" s="215"/>
      <c r="AA21" s="214"/>
      <c r="AB21" s="214"/>
      <c r="AC21" s="214"/>
      <c r="AD21" s="214"/>
      <c r="AE21" s="214"/>
      <c r="AF21" s="214"/>
      <c r="AG21" s="214"/>
      <c r="AH21" s="214"/>
      <c r="AI21" s="214"/>
      <c r="AJ21" s="214"/>
      <c r="AK21" s="214"/>
      <c r="AL21" s="214"/>
      <c r="AM21" s="214"/>
      <c r="AN21" s="214"/>
      <c r="AO21" s="214"/>
      <c r="AP21" s="214"/>
      <c r="AQ21" s="214"/>
      <c r="AR21" s="214"/>
      <c r="AS21" s="214"/>
      <c r="AT21" s="214"/>
      <c r="AU21" s="214"/>
      <c r="AV21" s="214"/>
      <c r="AW21" s="214"/>
      <c r="AX21" s="214"/>
      <c r="AY21" s="214"/>
      <c r="AZ21" s="214"/>
      <c r="BA21" s="214"/>
      <c r="BB21" s="214"/>
      <c r="BC21" s="214"/>
      <c r="BD21" s="214"/>
      <c r="BE21" s="214"/>
      <c r="BF21" s="214"/>
      <c r="BG21" s="214"/>
      <c r="BH21" s="214"/>
      <c r="BI21" s="214"/>
      <c r="BJ21" s="214"/>
      <c r="BK21" s="214"/>
      <c r="BL21" s="214"/>
      <c r="BM21" s="214"/>
      <c r="BN21" s="214"/>
      <c r="BO21" s="214"/>
      <c r="BP21" s="214"/>
      <c r="BQ21" s="214"/>
      <c r="BR21" s="214"/>
    </row>
    <row r="22" spans="1:70" ht="15" x14ac:dyDescent="0.2">
      <c r="A22" s="356"/>
      <c r="B22" s="357"/>
      <c r="C22" s="360" t="s">
        <v>165</v>
      </c>
      <c r="D22" s="361"/>
      <c r="E22" s="362"/>
      <c r="F22" s="239"/>
      <c r="G22" s="166"/>
      <c r="H22" s="496" t="s">
        <v>343</v>
      </c>
      <c r="I22" s="497"/>
      <c r="J22" s="498"/>
      <c r="K22" s="615">
        <v>240</v>
      </c>
      <c r="L22" s="616"/>
      <c r="M22" s="352"/>
      <c r="N22" s="352"/>
      <c r="O22" s="218"/>
      <c r="P22" s="232"/>
      <c r="Q22" s="230"/>
      <c r="R22" s="230"/>
      <c r="S22" s="230"/>
      <c r="T22" s="230"/>
      <c r="U22" s="230"/>
      <c r="V22" s="218"/>
      <c r="W22" s="218"/>
      <c r="X22" s="218"/>
      <c r="Y22" s="218"/>
      <c r="Z22" s="215"/>
      <c r="AA22" s="214"/>
      <c r="AB22" s="214"/>
      <c r="AC22" s="214"/>
      <c r="AD22" s="214"/>
      <c r="AE22" s="214"/>
      <c r="AF22" s="214"/>
      <c r="AG22" s="214"/>
      <c r="AH22" s="214"/>
      <c r="AI22" s="214"/>
      <c r="AJ22" s="214"/>
      <c r="AK22" s="214"/>
      <c r="AL22" s="214"/>
      <c r="AM22" s="214"/>
      <c r="AN22" s="214"/>
      <c r="AO22" s="214"/>
      <c r="AP22" s="214"/>
      <c r="AQ22" s="214"/>
      <c r="AR22" s="214"/>
      <c r="AS22" s="214"/>
      <c r="AT22" s="214"/>
      <c r="AU22" s="214"/>
      <c r="AV22" s="214"/>
      <c r="AW22" s="214"/>
      <c r="AX22" s="214"/>
      <c r="AY22" s="214"/>
      <c r="AZ22" s="214"/>
      <c r="BA22" s="214"/>
      <c r="BB22" s="214"/>
      <c r="BC22" s="214"/>
      <c r="BD22" s="214"/>
      <c r="BE22" s="214"/>
      <c r="BF22" s="214"/>
      <c r="BG22" s="214"/>
      <c r="BH22" s="214"/>
      <c r="BI22" s="214"/>
      <c r="BJ22" s="214"/>
      <c r="BK22" s="214"/>
      <c r="BL22" s="214"/>
      <c r="BM22" s="214"/>
      <c r="BN22" s="214"/>
      <c r="BO22" s="214"/>
      <c r="BP22" s="214"/>
      <c r="BQ22" s="214"/>
      <c r="BR22" s="214"/>
    </row>
    <row r="23" spans="1:70" ht="15" x14ac:dyDescent="0.2">
      <c r="A23" s="356"/>
      <c r="B23" s="357"/>
      <c r="C23" s="371" t="s">
        <v>151</v>
      </c>
      <c r="D23" s="372"/>
      <c r="E23" s="373"/>
      <c r="F23" s="239">
        <v>100</v>
      </c>
      <c r="G23" s="166"/>
      <c r="H23" s="496" t="s">
        <v>434</v>
      </c>
      <c r="I23" s="497"/>
      <c r="J23" s="498"/>
      <c r="K23" s="617">
        <v>0.13</v>
      </c>
      <c r="L23" s="570"/>
      <c r="M23" s="352"/>
      <c r="N23" s="352"/>
      <c r="O23" s="218"/>
      <c r="P23" s="318"/>
      <c r="Q23" s="230"/>
      <c r="R23" s="230"/>
      <c r="S23" s="230"/>
      <c r="T23" s="230"/>
      <c r="U23" s="230"/>
      <c r="V23" s="218"/>
      <c r="W23" s="218"/>
      <c r="X23" s="218"/>
      <c r="Y23" s="218"/>
      <c r="Z23" s="215"/>
      <c r="AA23" s="214"/>
      <c r="AB23" s="214"/>
      <c r="AC23" s="214"/>
      <c r="AD23" s="214"/>
      <c r="AE23" s="214"/>
      <c r="AF23" s="214"/>
      <c r="AG23" s="214"/>
      <c r="AH23" s="214"/>
      <c r="AI23" s="214"/>
      <c r="AJ23" s="214"/>
      <c r="AK23" s="214"/>
      <c r="AL23" s="214"/>
      <c r="AM23" s="214"/>
      <c r="AN23" s="214"/>
      <c r="AO23" s="214"/>
      <c r="AP23" s="214"/>
      <c r="AQ23" s="214"/>
      <c r="AR23" s="214"/>
      <c r="AS23" s="214"/>
      <c r="AT23" s="214"/>
      <c r="AU23" s="214"/>
      <c r="AV23" s="214"/>
      <c r="AW23" s="214"/>
      <c r="AX23" s="214"/>
      <c r="AY23" s="214"/>
      <c r="AZ23" s="214"/>
      <c r="BA23" s="214"/>
      <c r="BB23" s="214"/>
      <c r="BC23" s="214"/>
      <c r="BD23" s="214"/>
      <c r="BE23" s="214"/>
      <c r="BF23" s="214"/>
      <c r="BG23" s="214"/>
      <c r="BH23" s="214"/>
      <c r="BI23" s="214"/>
      <c r="BJ23" s="214"/>
      <c r="BK23" s="214"/>
      <c r="BL23" s="214"/>
      <c r="BM23" s="214"/>
      <c r="BN23" s="214"/>
      <c r="BO23" s="214"/>
      <c r="BP23" s="214"/>
      <c r="BQ23" s="214"/>
      <c r="BR23" s="214"/>
    </row>
    <row r="24" spans="1:70" ht="14.45" customHeight="1" x14ac:dyDescent="0.2">
      <c r="A24" s="356"/>
      <c r="B24" s="357"/>
      <c r="C24" s="374"/>
      <c r="D24" s="374"/>
      <c r="E24" s="374"/>
      <c r="F24" s="227"/>
      <c r="G24" s="166"/>
      <c r="H24" s="496" t="s">
        <v>432</v>
      </c>
      <c r="I24" s="497"/>
      <c r="J24" s="264" t="s">
        <v>433</v>
      </c>
      <c r="K24" s="265" t="s">
        <v>56</v>
      </c>
      <c r="L24" s="256"/>
      <c r="M24" s="352"/>
      <c r="N24" s="352"/>
      <c r="O24" s="218"/>
      <c r="P24" s="318"/>
      <c r="Q24" s="218"/>
      <c r="R24" s="218"/>
      <c r="S24" s="230"/>
      <c r="T24" s="230"/>
      <c r="U24" s="230"/>
      <c r="V24" s="218"/>
      <c r="W24" s="218"/>
      <c r="X24" s="218"/>
      <c r="Y24" s="218"/>
      <c r="Z24" s="215"/>
      <c r="AA24" s="214"/>
      <c r="AB24" s="214"/>
      <c r="AC24" s="214"/>
      <c r="AD24" s="214"/>
      <c r="AE24" s="214"/>
      <c r="AF24" s="214"/>
      <c r="AG24" s="214"/>
      <c r="AH24" s="214"/>
      <c r="AI24" s="214"/>
      <c r="AJ24" s="214"/>
      <c r="AK24" s="214"/>
      <c r="AL24" s="214"/>
      <c r="AM24" s="214"/>
      <c r="AN24" s="214"/>
      <c r="AO24" s="214"/>
      <c r="AP24" s="214"/>
      <c r="AQ24" s="214"/>
      <c r="AR24" s="214"/>
      <c r="AS24" s="214"/>
      <c r="AT24" s="214"/>
      <c r="AU24" s="214"/>
      <c r="AV24" s="214"/>
      <c r="AW24" s="214"/>
      <c r="AX24" s="214"/>
      <c r="AY24" s="214"/>
      <c r="AZ24" s="214"/>
      <c r="BA24" s="214"/>
      <c r="BB24" s="214"/>
      <c r="BC24" s="214"/>
      <c r="BD24" s="214"/>
      <c r="BE24" s="214"/>
      <c r="BF24" s="214"/>
      <c r="BG24" s="214"/>
      <c r="BH24" s="214"/>
      <c r="BI24" s="214"/>
      <c r="BJ24" s="214"/>
      <c r="BK24" s="214"/>
      <c r="BL24" s="214"/>
      <c r="BM24" s="214"/>
      <c r="BN24" s="214"/>
      <c r="BO24" s="214"/>
      <c r="BP24" s="214"/>
      <c r="BQ24" s="214"/>
      <c r="BR24" s="214"/>
    </row>
    <row r="25" spans="1:70" ht="14.45" customHeight="1" x14ac:dyDescent="0.2">
      <c r="A25" s="356"/>
      <c r="B25" s="357"/>
      <c r="C25" s="268"/>
      <c r="D25" s="269"/>
      <c r="E25" s="270"/>
      <c r="F25" s="263"/>
      <c r="G25" s="166"/>
      <c r="H25" s="566" t="s">
        <v>435</v>
      </c>
      <c r="I25" s="567"/>
      <c r="J25" s="568"/>
      <c r="K25" s="569"/>
      <c r="L25" s="570"/>
      <c r="M25" s="352"/>
      <c r="N25" s="352"/>
      <c r="O25" s="218"/>
      <c r="P25" s="318"/>
      <c r="Q25" s="218"/>
      <c r="R25" s="218"/>
      <c r="S25" s="230"/>
      <c r="T25" s="230"/>
      <c r="U25" s="230"/>
      <c r="V25" s="218"/>
      <c r="W25" s="218"/>
      <c r="X25" s="218"/>
      <c r="Y25" s="218"/>
      <c r="Z25" s="215"/>
      <c r="AA25" s="214"/>
      <c r="AB25" s="214"/>
      <c r="AC25" s="214"/>
      <c r="AD25" s="214"/>
      <c r="AE25" s="214"/>
      <c r="AF25" s="214"/>
      <c r="AG25" s="214"/>
      <c r="AH25" s="214"/>
      <c r="AI25" s="214"/>
      <c r="AJ25" s="214"/>
      <c r="AK25" s="214"/>
      <c r="AL25" s="214"/>
      <c r="AM25" s="214"/>
      <c r="AN25" s="214"/>
      <c r="AO25" s="214"/>
      <c r="AP25" s="214"/>
      <c r="AQ25" s="214"/>
      <c r="AR25" s="214"/>
      <c r="AS25" s="214"/>
      <c r="AT25" s="214"/>
      <c r="AU25" s="214"/>
      <c r="AV25" s="214"/>
      <c r="AW25" s="214"/>
      <c r="AX25" s="214"/>
      <c r="AY25" s="214"/>
      <c r="AZ25" s="214"/>
      <c r="BA25" s="214"/>
      <c r="BB25" s="214"/>
      <c r="BC25" s="214"/>
      <c r="BD25" s="214"/>
      <c r="BE25" s="214"/>
      <c r="BF25" s="214"/>
      <c r="BG25" s="214"/>
      <c r="BH25" s="214"/>
      <c r="BI25" s="214"/>
      <c r="BJ25" s="214"/>
      <c r="BK25" s="214"/>
      <c r="BL25" s="214"/>
      <c r="BM25" s="214"/>
      <c r="BN25" s="214"/>
      <c r="BO25" s="214"/>
      <c r="BP25" s="214"/>
      <c r="BQ25" s="214"/>
      <c r="BR25" s="214"/>
    </row>
    <row r="26" spans="1:70" ht="14.45" customHeight="1" x14ac:dyDescent="0.2">
      <c r="A26" s="356"/>
      <c r="B26" s="357"/>
      <c r="C26" s="595"/>
      <c r="D26" s="596"/>
      <c r="E26" s="597"/>
      <c r="F26" s="263"/>
      <c r="G26" s="166"/>
      <c r="H26" s="496" t="s">
        <v>437</v>
      </c>
      <c r="I26" s="497"/>
      <c r="J26" s="264" t="s">
        <v>436</v>
      </c>
      <c r="K26" s="266" t="s">
        <v>56</v>
      </c>
      <c r="L26" s="271"/>
      <c r="M26" s="352"/>
      <c r="N26" s="352"/>
      <c r="O26" s="215"/>
      <c r="P26" s="318"/>
      <c r="Q26" s="215"/>
      <c r="R26" s="218"/>
      <c r="S26" s="230"/>
      <c r="T26" s="230"/>
      <c r="U26" s="230"/>
      <c r="V26" s="218"/>
      <c r="W26" s="218"/>
      <c r="X26" s="218"/>
      <c r="Y26" s="218"/>
      <c r="Z26" s="215"/>
      <c r="AA26" s="214"/>
      <c r="AB26" s="214"/>
      <c r="AC26" s="214"/>
      <c r="AD26" s="214"/>
      <c r="AE26" s="214"/>
      <c r="AF26" s="214"/>
      <c r="AG26" s="214"/>
      <c r="AH26" s="214"/>
      <c r="AI26" s="214"/>
      <c r="AJ26" s="214"/>
      <c r="AK26" s="214"/>
      <c r="AL26" s="214"/>
      <c r="AM26" s="214"/>
      <c r="AN26" s="214"/>
      <c r="AO26" s="214"/>
      <c r="AP26" s="214"/>
      <c r="AQ26" s="214"/>
      <c r="AR26" s="214"/>
      <c r="AS26" s="214"/>
      <c r="AT26" s="214"/>
      <c r="AU26" s="214"/>
      <c r="AV26" s="214"/>
      <c r="AW26" s="214"/>
      <c r="AX26" s="214"/>
      <c r="AY26" s="214"/>
      <c r="AZ26" s="214"/>
      <c r="BA26" s="214"/>
      <c r="BB26" s="214"/>
      <c r="BC26" s="214"/>
      <c r="BD26" s="214"/>
      <c r="BE26" s="214"/>
      <c r="BF26" s="214"/>
      <c r="BG26" s="214"/>
      <c r="BH26" s="214"/>
      <c r="BI26" s="214"/>
      <c r="BJ26" s="214"/>
      <c r="BK26" s="214"/>
      <c r="BL26" s="214"/>
      <c r="BM26" s="214"/>
      <c r="BN26" s="214"/>
      <c r="BO26" s="214"/>
      <c r="BP26" s="214"/>
      <c r="BQ26" s="214"/>
      <c r="BR26" s="214"/>
    </row>
    <row r="27" spans="1:70" ht="15.75" thickBot="1" x14ac:dyDescent="0.25">
      <c r="A27" s="358"/>
      <c r="B27" s="359"/>
      <c r="C27" s="598"/>
      <c r="D27" s="598"/>
      <c r="E27" s="598"/>
      <c r="F27" s="228"/>
      <c r="G27" s="167"/>
      <c r="H27" s="377" t="s">
        <v>466</v>
      </c>
      <c r="I27" s="377"/>
      <c r="J27" s="377"/>
      <c r="K27" s="378" t="s">
        <v>457</v>
      </c>
      <c r="L27" s="379"/>
      <c r="M27" s="352"/>
      <c r="N27" s="352"/>
      <c r="O27" s="215"/>
      <c r="P27" s="215"/>
      <c r="Q27" s="215"/>
      <c r="R27" s="218"/>
      <c r="S27" s="230"/>
      <c r="T27" s="230"/>
      <c r="U27" s="230"/>
      <c r="V27" s="218"/>
      <c r="W27" s="218"/>
      <c r="X27" s="218"/>
      <c r="Y27" s="218"/>
      <c r="Z27" s="215"/>
      <c r="AA27" s="214"/>
      <c r="AB27" s="214"/>
      <c r="AC27" s="214"/>
      <c r="AD27" s="214"/>
      <c r="AE27" s="214"/>
      <c r="AF27" s="214"/>
      <c r="AG27" s="214"/>
      <c r="AH27" s="214"/>
      <c r="AI27" s="214"/>
      <c r="AJ27" s="214"/>
      <c r="AK27" s="214"/>
      <c r="AL27" s="214"/>
      <c r="AM27" s="214"/>
      <c r="AN27" s="214"/>
      <c r="AO27" s="214"/>
      <c r="AP27" s="214"/>
      <c r="AQ27" s="214"/>
      <c r="AR27" s="214"/>
      <c r="AS27" s="214"/>
      <c r="AT27" s="214"/>
      <c r="AU27" s="214"/>
      <c r="AV27" s="214"/>
      <c r="AW27" s="214"/>
      <c r="AX27" s="214"/>
      <c r="AY27" s="214"/>
      <c r="AZ27" s="214"/>
      <c r="BA27" s="214"/>
      <c r="BB27" s="214"/>
      <c r="BC27" s="214"/>
      <c r="BD27" s="214"/>
      <c r="BE27" s="214"/>
      <c r="BF27" s="214"/>
      <c r="BG27" s="214"/>
      <c r="BH27" s="214"/>
      <c r="BI27" s="214"/>
      <c r="BJ27" s="214"/>
      <c r="BK27" s="214"/>
      <c r="BL27" s="214"/>
      <c r="BM27" s="214"/>
      <c r="BN27" s="214"/>
      <c r="BO27" s="214"/>
      <c r="BP27" s="214"/>
      <c r="BQ27" s="214"/>
      <c r="BR27" s="214"/>
    </row>
    <row r="28" spans="1:70" ht="15.75" customHeight="1" x14ac:dyDescent="0.2">
      <c r="A28" s="363" t="s">
        <v>101</v>
      </c>
      <c r="B28" s="367"/>
      <c r="C28" s="491" t="s">
        <v>91</v>
      </c>
      <c r="D28" s="491"/>
      <c r="E28" s="491"/>
      <c r="F28" s="197"/>
      <c r="G28" s="545" t="str">
        <f>IF(DBZS="Yes","Check source Zone Substation is CMEN connected and there is continuous metallic return all the way to ZS","")</f>
        <v/>
      </c>
      <c r="H28" s="546"/>
      <c r="I28" s="546"/>
      <c r="J28" s="546"/>
      <c r="K28" s="546"/>
      <c r="L28" s="547"/>
      <c r="M28" s="352"/>
      <c r="N28" s="352"/>
      <c r="O28" s="215"/>
      <c r="P28" s="215"/>
      <c r="Q28" s="215"/>
      <c r="R28" s="218"/>
      <c r="S28" s="230"/>
      <c r="T28" s="230"/>
      <c r="U28" s="230"/>
      <c r="V28" s="218"/>
      <c r="W28" s="218"/>
      <c r="X28" s="218"/>
      <c r="Y28" s="218"/>
      <c r="Z28" s="215"/>
      <c r="AA28" s="214"/>
      <c r="AB28" s="214"/>
      <c r="AC28" s="214"/>
      <c r="AD28" s="214"/>
      <c r="AE28" s="214"/>
      <c r="AF28" s="214"/>
      <c r="AG28" s="214"/>
      <c r="AH28" s="214"/>
      <c r="AI28" s="214"/>
      <c r="AJ28" s="214"/>
      <c r="AK28" s="214"/>
      <c r="AL28" s="214"/>
      <c r="AM28" s="214"/>
      <c r="AN28" s="214"/>
      <c r="AO28" s="214"/>
      <c r="AP28" s="214"/>
      <c r="AQ28" s="214"/>
      <c r="AR28" s="214"/>
      <c r="AS28" s="214"/>
      <c r="AT28" s="214"/>
      <c r="AU28" s="214"/>
      <c r="AV28" s="214"/>
      <c r="AW28" s="214"/>
      <c r="AX28" s="214"/>
      <c r="AY28" s="214"/>
      <c r="AZ28" s="214"/>
      <c r="BA28" s="214"/>
      <c r="BB28" s="214"/>
      <c r="BC28" s="214"/>
      <c r="BD28" s="214"/>
      <c r="BE28" s="214"/>
      <c r="BF28" s="214"/>
      <c r="BG28" s="214"/>
      <c r="BH28" s="214"/>
      <c r="BI28" s="214"/>
      <c r="BJ28" s="214"/>
      <c r="BK28" s="214"/>
      <c r="BL28" s="214"/>
      <c r="BM28" s="214"/>
      <c r="BN28" s="214"/>
      <c r="BO28" s="214"/>
      <c r="BP28" s="214"/>
      <c r="BQ28" s="214"/>
      <c r="BR28" s="214"/>
    </row>
    <row r="29" spans="1:70" ht="15.75" thickBot="1" x14ac:dyDescent="0.25">
      <c r="A29" s="365"/>
      <c r="B29" s="368"/>
      <c r="C29" s="375" t="s">
        <v>93</v>
      </c>
      <c r="D29" s="375"/>
      <c r="E29" s="375"/>
      <c r="F29" s="198"/>
      <c r="G29" s="548"/>
      <c r="H29" s="549"/>
      <c r="I29" s="549"/>
      <c r="J29" s="549"/>
      <c r="K29" s="549"/>
      <c r="L29" s="550"/>
      <c r="M29" s="352"/>
      <c r="N29" s="352"/>
      <c r="O29" s="215"/>
      <c r="P29" s="215"/>
      <c r="Q29" s="215"/>
      <c r="R29" s="218"/>
      <c r="S29" s="230"/>
      <c r="T29" s="230"/>
      <c r="U29" s="230"/>
      <c r="V29" s="218"/>
      <c r="W29" s="218"/>
      <c r="X29" s="218"/>
      <c r="Y29" s="218"/>
      <c r="Z29" s="215"/>
      <c r="AA29" s="214"/>
      <c r="AB29" s="214"/>
      <c r="AC29" s="214"/>
      <c r="AD29" s="214"/>
      <c r="AE29" s="214"/>
      <c r="AF29" s="214"/>
      <c r="AG29" s="214"/>
      <c r="AH29" s="214"/>
      <c r="AI29" s="214"/>
      <c r="AJ29" s="214"/>
      <c r="AK29" s="214"/>
      <c r="AL29" s="214"/>
      <c r="AM29" s="214"/>
      <c r="AN29" s="214"/>
      <c r="AO29" s="214"/>
      <c r="AP29" s="214"/>
      <c r="AQ29" s="214"/>
      <c r="AR29" s="214"/>
      <c r="AS29" s="214"/>
      <c r="AT29" s="214"/>
      <c r="AU29" s="214"/>
      <c r="AV29" s="214"/>
      <c r="AW29" s="214"/>
      <c r="AX29" s="214"/>
      <c r="AY29" s="214"/>
      <c r="AZ29" s="214"/>
      <c r="BA29" s="214"/>
      <c r="BB29" s="214"/>
      <c r="BC29" s="214"/>
      <c r="BD29" s="214"/>
      <c r="BE29" s="214"/>
      <c r="BF29" s="214"/>
      <c r="BG29" s="214"/>
      <c r="BH29" s="214"/>
      <c r="BI29" s="214"/>
      <c r="BJ29" s="214"/>
      <c r="BK29" s="214"/>
      <c r="BL29" s="214"/>
      <c r="BM29" s="214"/>
      <c r="BN29" s="214"/>
      <c r="BO29" s="214"/>
      <c r="BP29" s="214"/>
      <c r="BQ29" s="214"/>
      <c r="BR29" s="214"/>
    </row>
    <row r="30" spans="1:70" ht="15.75" thickBot="1" x14ac:dyDescent="0.25">
      <c r="A30" s="363" t="s">
        <v>30</v>
      </c>
      <c r="B30" s="364"/>
      <c r="C30" s="480" t="s">
        <v>95</v>
      </c>
      <c r="D30" s="480"/>
      <c r="E30" s="480"/>
      <c r="F30" s="480"/>
      <c r="G30" s="179" t="b">
        <f>AND(OR(equipment_type="Padmount Substation",equipment_type="Pole Mounted Substation"),config="Separate")</f>
        <v>0</v>
      </c>
      <c r="H30" s="546" t="s">
        <v>96</v>
      </c>
      <c r="I30" s="546"/>
      <c r="J30" s="546"/>
      <c r="K30" s="546"/>
      <c r="L30" s="547"/>
      <c r="M30" s="352"/>
      <c r="N30" s="352"/>
      <c r="O30" s="215"/>
      <c r="P30" s="215"/>
      <c r="Q30" s="215"/>
      <c r="R30" s="218"/>
      <c r="S30" s="230"/>
      <c r="T30" s="230"/>
      <c r="U30" s="230"/>
      <c r="V30" s="218"/>
      <c r="W30" s="218"/>
      <c r="X30" s="218"/>
      <c r="Y30" s="218"/>
      <c r="Z30" s="215"/>
      <c r="AA30" s="214"/>
      <c r="AB30" s="214"/>
      <c r="AC30" s="214"/>
      <c r="AD30" s="214"/>
      <c r="AE30" s="214"/>
      <c r="AF30" s="214"/>
      <c r="AG30" s="214"/>
      <c r="AH30" s="214"/>
      <c r="AI30" s="214"/>
      <c r="AJ30" s="214"/>
      <c r="AK30" s="214"/>
      <c r="AL30" s="214"/>
      <c r="AM30" s="214"/>
      <c r="AN30" s="214"/>
      <c r="AO30" s="214"/>
      <c r="AP30" s="214"/>
      <c r="AQ30" s="214"/>
      <c r="AR30" s="214"/>
      <c r="AS30" s="214"/>
      <c r="AT30" s="214"/>
      <c r="AU30" s="214"/>
      <c r="AV30" s="214"/>
      <c r="AW30" s="214"/>
      <c r="AX30" s="214"/>
      <c r="AY30" s="214"/>
      <c r="AZ30" s="214"/>
      <c r="BA30" s="214"/>
      <c r="BB30" s="214"/>
      <c r="BC30" s="214"/>
      <c r="BD30" s="214"/>
      <c r="BE30" s="214"/>
      <c r="BF30" s="214"/>
      <c r="BG30" s="214"/>
      <c r="BH30" s="214"/>
      <c r="BI30" s="214"/>
      <c r="BJ30" s="214"/>
      <c r="BK30" s="214"/>
      <c r="BL30" s="214"/>
      <c r="BM30" s="214"/>
      <c r="BN30" s="214"/>
      <c r="BO30" s="214"/>
      <c r="BP30" s="214"/>
      <c r="BQ30" s="214"/>
      <c r="BR30" s="214"/>
    </row>
    <row r="31" spans="1:70" ht="15.75" customHeight="1" x14ac:dyDescent="0.25">
      <c r="A31" s="365"/>
      <c r="B31" s="366"/>
      <c r="C31" s="452" t="s">
        <v>61</v>
      </c>
      <c r="D31" s="452"/>
      <c r="E31" s="452"/>
      <c r="F31" s="199"/>
      <c r="G31" s="177"/>
      <c r="H31" s="384" t="s">
        <v>374</v>
      </c>
      <c r="I31" s="385"/>
      <c r="J31" s="385"/>
      <c r="K31" s="383" t="s">
        <v>431</v>
      </c>
      <c r="L31" s="383"/>
      <c r="M31" s="352"/>
      <c r="N31" s="352"/>
      <c r="O31" s="218"/>
      <c r="P31" s="218"/>
      <c r="Q31" s="219">
        <v>0</v>
      </c>
      <c r="R31" s="219">
        <f>IF(equipment_type="Padmount Substation","",0)</f>
        <v>0</v>
      </c>
      <c r="S31" s="230"/>
      <c r="T31" s="230"/>
      <c r="U31" s="230"/>
      <c r="V31" s="218"/>
      <c r="W31" s="218"/>
      <c r="X31" s="218"/>
      <c r="Y31" s="218"/>
      <c r="Z31" s="215"/>
      <c r="AA31" s="214"/>
      <c r="AB31" s="214"/>
      <c r="AC31" s="214"/>
      <c r="AD31" s="214"/>
      <c r="AE31" s="214"/>
      <c r="AF31" s="214"/>
      <c r="AG31" s="214"/>
      <c r="AH31" s="214"/>
      <c r="AI31" s="214"/>
      <c r="AJ31" s="214"/>
      <c r="AK31" s="214"/>
      <c r="AL31" s="214"/>
      <c r="AM31" s="214"/>
      <c r="AN31" s="214"/>
      <c r="AO31" s="214"/>
      <c r="AP31" s="214"/>
      <c r="AQ31" s="214"/>
      <c r="AR31" s="214"/>
      <c r="AS31" s="214"/>
      <c r="AT31" s="214"/>
      <c r="AU31" s="214"/>
      <c r="AV31" s="214"/>
      <c r="AW31" s="214"/>
      <c r="AX31" s="214"/>
      <c r="AY31" s="214"/>
      <c r="AZ31" s="214"/>
      <c r="BA31" s="214"/>
      <c r="BB31" s="214"/>
      <c r="BC31" s="214"/>
      <c r="BD31" s="214"/>
      <c r="BE31" s="214"/>
      <c r="BF31" s="214"/>
      <c r="BG31" s="214"/>
      <c r="BH31" s="214"/>
      <c r="BI31" s="214"/>
      <c r="BJ31" s="214"/>
      <c r="BK31" s="214"/>
      <c r="BL31" s="214"/>
      <c r="BM31" s="214"/>
      <c r="BN31" s="214"/>
      <c r="BO31" s="214"/>
      <c r="BP31" s="214"/>
      <c r="BQ31" s="214"/>
      <c r="BR31" s="214"/>
    </row>
    <row r="32" spans="1:70" ht="15.75" customHeight="1" x14ac:dyDescent="0.25">
      <c r="A32" s="365"/>
      <c r="B32" s="366"/>
      <c r="C32" s="376" t="s">
        <v>364</v>
      </c>
      <c r="D32" s="376"/>
      <c r="E32" s="376"/>
      <c r="F32" s="200"/>
      <c r="G32" s="177"/>
      <c r="H32" s="381" t="s">
        <v>2</v>
      </c>
      <c r="I32" s="452"/>
      <c r="J32" s="452"/>
      <c r="K32" s="544">
        <v>2.4</v>
      </c>
      <c r="L32" s="544"/>
      <c r="M32" s="352"/>
      <c r="N32" s="352"/>
      <c r="O32" s="218"/>
      <c r="P32" s="218"/>
      <c r="Q32" s="219">
        <v>0</v>
      </c>
      <c r="R32" s="220">
        <f>IF(equipment_type="Padmount Substation","",-F33)</f>
        <v>0</v>
      </c>
      <c r="S32" s="230"/>
      <c r="T32" s="230"/>
      <c r="U32" s="230"/>
      <c r="V32" s="218"/>
      <c r="W32" s="218"/>
      <c r="X32" s="218"/>
      <c r="Y32" s="218"/>
      <c r="Z32" s="215"/>
      <c r="AA32" s="214"/>
      <c r="AB32" s="214"/>
      <c r="AC32" s="214"/>
      <c r="AD32" s="214"/>
      <c r="AE32" s="214"/>
      <c r="AF32" s="214"/>
      <c r="AG32" s="214"/>
      <c r="AH32" s="214"/>
      <c r="AI32" s="214"/>
      <c r="AJ32" s="214"/>
      <c r="AK32" s="214"/>
      <c r="AL32" s="214"/>
      <c r="AM32" s="214"/>
      <c r="AN32" s="214"/>
      <c r="AO32" s="214"/>
      <c r="AP32" s="214"/>
      <c r="AQ32" s="214"/>
      <c r="AR32" s="214"/>
      <c r="AS32" s="214"/>
      <c r="AT32" s="214"/>
      <c r="AU32" s="214"/>
      <c r="AV32" s="214"/>
      <c r="AW32" s="214"/>
      <c r="AX32" s="214"/>
      <c r="AY32" s="214"/>
      <c r="AZ32" s="214"/>
      <c r="BA32" s="214"/>
      <c r="BB32" s="214"/>
      <c r="BC32" s="214"/>
      <c r="BD32" s="214"/>
      <c r="BE32" s="214"/>
      <c r="BF32" s="214"/>
      <c r="BG32" s="214"/>
      <c r="BH32" s="214"/>
      <c r="BI32" s="214"/>
      <c r="BJ32" s="214"/>
      <c r="BK32" s="214"/>
      <c r="BL32" s="214"/>
      <c r="BM32" s="214"/>
      <c r="BN32" s="214"/>
      <c r="BO32" s="214"/>
      <c r="BP32" s="214"/>
      <c r="BQ32" s="214"/>
      <c r="BR32" s="214"/>
    </row>
    <row r="33" spans="1:70" ht="15.75" customHeight="1" x14ac:dyDescent="0.25">
      <c r="A33" s="365"/>
      <c r="B33" s="366"/>
      <c r="C33" s="386" t="s">
        <v>363</v>
      </c>
      <c r="D33" s="386"/>
      <c r="E33" s="386"/>
      <c r="F33" s="200"/>
      <c r="G33" s="177"/>
      <c r="H33" s="381" t="s">
        <v>3</v>
      </c>
      <c r="I33" s="452"/>
      <c r="J33" s="452"/>
      <c r="K33" s="382">
        <v>2</v>
      </c>
      <c r="L33" s="382"/>
      <c r="M33" s="352"/>
      <c r="N33" s="352"/>
      <c r="O33" s="218"/>
      <c r="P33" s="218"/>
      <c r="Q33" s="219">
        <v>0</v>
      </c>
      <c r="R33" s="220">
        <f>R32</f>
        <v>0</v>
      </c>
      <c r="S33" s="230"/>
      <c r="T33" s="230"/>
      <c r="U33" s="230"/>
      <c r="V33" s="218"/>
      <c r="W33" s="218"/>
      <c r="X33" s="218"/>
      <c r="Y33" s="218"/>
      <c r="Z33" s="215"/>
      <c r="AA33" s="214"/>
      <c r="AB33" s="214"/>
      <c r="AC33" s="214"/>
      <c r="AD33" s="214"/>
      <c r="AE33" s="214"/>
      <c r="AF33" s="214"/>
      <c r="AG33" s="214"/>
      <c r="AH33" s="214"/>
      <c r="AI33" s="214"/>
      <c r="AJ33" s="214"/>
      <c r="AK33" s="214"/>
      <c r="AL33" s="214"/>
      <c r="AM33" s="214"/>
      <c r="AN33" s="214"/>
      <c r="AO33" s="214"/>
      <c r="AP33" s="214"/>
      <c r="AQ33" s="214"/>
      <c r="AR33" s="214"/>
      <c r="AS33" s="214"/>
      <c r="AT33" s="214"/>
      <c r="AU33" s="214"/>
      <c r="AV33" s="214"/>
      <c r="AW33" s="214"/>
      <c r="AX33" s="214"/>
      <c r="AY33" s="214"/>
      <c r="AZ33" s="214"/>
      <c r="BA33" s="214"/>
      <c r="BB33" s="214"/>
      <c r="BC33" s="214"/>
      <c r="BD33" s="214"/>
      <c r="BE33" s="214"/>
      <c r="BF33" s="214"/>
      <c r="BG33" s="214"/>
      <c r="BH33" s="214"/>
      <c r="BI33" s="214"/>
      <c r="BJ33" s="214"/>
      <c r="BK33" s="214"/>
      <c r="BL33" s="214"/>
      <c r="BM33" s="214"/>
      <c r="BN33" s="214"/>
      <c r="BO33" s="214"/>
      <c r="BP33" s="214"/>
      <c r="BQ33" s="214"/>
      <c r="BR33" s="214"/>
    </row>
    <row r="34" spans="1:70" ht="15.75" customHeight="1" thickBot="1" x14ac:dyDescent="0.3">
      <c r="A34" s="365"/>
      <c r="B34" s="366"/>
      <c r="C34" s="387" t="s">
        <v>3</v>
      </c>
      <c r="D34" s="387"/>
      <c r="E34" s="387"/>
      <c r="F34" s="201"/>
      <c r="G34" s="177"/>
      <c r="H34" s="380" t="s">
        <v>138</v>
      </c>
      <c r="I34" s="380"/>
      <c r="J34" s="381"/>
      <c r="K34" s="394" t="e">
        <f>'Earth Grid Calcs'!I26</f>
        <v>#DIV/0!</v>
      </c>
      <c r="L34" s="395"/>
      <c r="M34" s="352"/>
      <c r="N34" s="352"/>
      <c r="O34" s="218"/>
      <c r="P34" s="218"/>
      <c r="Q34" s="219">
        <v>0</v>
      </c>
      <c r="R34" s="220">
        <f>IF(equipment_type="Padmount Substation","",R33-L)</f>
        <v>0</v>
      </c>
      <c r="S34" s="230"/>
      <c r="T34" s="230"/>
      <c r="U34" s="230"/>
      <c r="V34" s="218"/>
      <c r="W34" s="218"/>
      <c r="X34" s="218"/>
      <c r="Y34" s="218"/>
      <c r="Z34" s="215"/>
      <c r="AA34" s="214"/>
      <c r="AB34" s="214"/>
      <c r="AC34" s="214"/>
      <c r="AD34" s="214"/>
      <c r="AE34" s="214"/>
      <c r="AF34" s="214"/>
      <c r="AG34" s="214"/>
      <c r="AH34" s="214"/>
      <c r="AI34" s="214"/>
      <c r="AJ34" s="214"/>
      <c r="AK34" s="214"/>
      <c r="AL34" s="214"/>
      <c r="AM34" s="214"/>
      <c r="AN34" s="214"/>
      <c r="AO34" s="214"/>
      <c r="AP34" s="214"/>
      <c r="AQ34" s="214"/>
      <c r="AR34" s="214"/>
      <c r="AS34" s="214"/>
      <c r="AT34" s="214"/>
      <c r="AU34" s="214"/>
      <c r="AV34" s="214"/>
      <c r="AW34" s="214"/>
      <c r="AX34" s="214"/>
      <c r="AY34" s="214"/>
      <c r="AZ34" s="214"/>
      <c r="BA34" s="214"/>
      <c r="BB34" s="214"/>
      <c r="BC34" s="214"/>
      <c r="BD34" s="214"/>
      <c r="BE34" s="214"/>
      <c r="BF34" s="214"/>
      <c r="BG34" s="214"/>
      <c r="BH34" s="214"/>
      <c r="BI34" s="214"/>
      <c r="BJ34" s="214"/>
      <c r="BK34" s="214"/>
      <c r="BL34" s="214"/>
      <c r="BM34" s="214"/>
      <c r="BN34" s="214"/>
      <c r="BO34" s="214"/>
      <c r="BP34" s="214"/>
      <c r="BQ34" s="214"/>
      <c r="BR34" s="214"/>
    </row>
    <row r="35" spans="1:70" ht="15.75" customHeight="1" thickBot="1" x14ac:dyDescent="0.3">
      <c r="A35" s="365"/>
      <c r="B35" s="366"/>
      <c r="C35" s="347" t="s">
        <v>392</v>
      </c>
      <c r="D35" s="348"/>
      <c r="E35" s="349"/>
      <c r="F35" s="202" t="e">
        <f>IF(AND($E$36="Yes",NOT($F$36="")),$F$36,'Earth Grid Calcs'!I14)</f>
        <v>#DIV/0!</v>
      </c>
      <c r="G35" s="177"/>
      <c r="H35" s="380" t="s">
        <v>178</v>
      </c>
      <c r="I35" s="380"/>
      <c r="J35" s="381"/>
      <c r="K35" s="394" t="e">
        <f>(LV_grid_res*Z_MEN)/(LV_grid_res+Z_MEN)</f>
        <v>#DIV/0!</v>
      </c>
      <c r="L35" s="395"/>
      <c r="M35" s="352"/>
      <c r="N35" s="352"/>
      <c r="O35" s="218"/>
      <c r="P35" s="218"/>
      <c r="Q35" s="218"/>
      <c r="R35" s="218"/>
      <c r="S35" s="230"/>
      <c r="T35" s="230"/>
      <c r="U35" s="230"/>
      <c r="V35" s="218"/>
      <c r="W35" s="218"/>
      <c r="X35" s="218"/>
      <c r="Y35" s="218"/>
      <c r="Z35" s="215"/>
      <c r="AA35" s="214"/>
      <c r="AB35" s="214"/>
      <c r="AC35" s="214"/>
      <c r="AD35" s="214"/>
      <c r="AE35" s="214"/>
      <c r="AF35" s="214"/>
      <c r="AG35" s="214"/>
      <c r="AH35" s="214"/>
      <c r="AI35" s="214"/>
      <c r="AJ35" s="214"/>
      <c r="AK35" s="214"/>
      <c r="AL35" s="214"/>
      <c r="AM35" s="214"/>
      <c r="AN35" s="214"/>
      <c r="AO35" s="214"/>
      <c r="AP35" s="214"/>
      <c r="AQ35" s="214"/>
      <c r="AR35" s="214"/>
      <c r="AS35" s="214"/>
      <c r="AT35" s="214"/>
      <c r="AU35" s="214"/>
      <c r="AV35" s="214"/>
      <c r="AW35" s="214"/>
      <c r="AX35" s="214"/>
      <c r="AY35" s="214"/>
      <c r="AZ35" s="214"/>
      <c r="BA35" s="214"/>
      <c r="BB35" s="214"/>
      <c r="BC35" s="214"/>
      <c r="BD35" s="214"/>
      <c r="BE35" s="214"/>
      <c r="BF35" s="214"/>
      <c r="BG35" s="214"/>
      <c r="BH35" s="214"/>
      <c r="BI35" s="214"/>
      <c r="BJ35" s="214"/>
      <c r="BK35" s="214"/>
      <c r="BL35" s="214"/>
      <c r="BM35" s="214"/>
      <c r="BN35" s="214"/>
      <c r="BO35" s="214"/>
      <c r="BP35" s="214"/>
      <c r="BQ35" s="214"/>
      <c r="BR35" s="214"/>
    </row>
    <row r="36" spans="1:70" ht="15.75" customHeight="1" thickBot="1" x14ac:dyDescent="0.3">
      <c r="A36" s="365"/>
      <c r="B36" s="366"/>
      <c r="C36" s="414" t="s">
        <v>484</v>
      </c>
      <c r="D36" s="415"/>
      <c r="E36" s="739" t="s">
        <v>56</v>
      </c>
      <c r="F36" s="740"/>
      <c r="G36" s="180"/>
      <c r="H36" s="396" t="s">
        <v>33</v>
      </c>
      <c r="I36" s="397"/>
      <c r="J36" s="397"/>
      <c r="K36" s="405" t="e">
        <f>IF(AND(L_LV&gt;2.39,N_LV&gt;1.9),IF(OR(lv_bond="Yes",LV_with_MEN&lt;HV_grid_res_main),TRUE,FALSE),FALSE)</f>
        <v>#DIV/0!</v>
      </c>
      <c r="L36" s="405"/>
      <c r="M36" s="352"/>
      <c r="N36" s="352"/>
      <c r="O36" s="218"/>
      <c r="P36" s="218"/>
      <c r="Q36" s="218"/>
      <c r="R36" s="218"/>
      <c r="S36" s="230"/>
      <c r="T36" s="230"/>
      <c r="U36" s="230"/>
      <c r="V36" s="218"/>
      <c r="W36" s="218"/>
      <c r="X36" s="218"/>
      <c r="Y36" s="218"/>
      <c r="Z36" s="215"/>
      <c r="AA36" s="214"/>
      <c r="AB36" s="214"/>
      <c r="AC36" s="214"/>
      <c r="AD36" s="214"/>
      <c r="AE36" s="214"/>
      <c r="AF36" s="214"/>
      <c r="AG36" s="214"/>
      <c r="AH36" s="214"/>
      <c r="AI36" s="214"/>
      <c r="AJ36" s="214"/>
      <c r="AK36" s="214"/>
      <c r="AL36" s="214"/>
      <c r="AM36" s="214"/>
      <c r="AN36" s="214"/>
      <c r="AO36" s="214"/>
      <c r="AP36" s="214"/>
      <c r="AQ36" s="214"/>
      <c r="AR36" s="214"/>
      <c r="AS36" s="214"/>
      <c r="AT36" s="214"/>
      <c r="AU36" s="214"/>
      <c r="AV36" s="214"/>
      <c r="AW36" s="214"/>
      <c r="AX36" s="214"/>
      <c r="AY36" s="214"/>
      <c r="AZ36" s="214"/>
      <c r="BA36" s="214"/>
      <c r="BB36" s="214"/>
      <c r="BC36" s="214"/>
      <c r="BD36" s="214"/>
      <c r="BE36" s="214"/>
      <c r="BF36" s="214"/>
      <c r="BG36" s="214"/>
      <c r="BH36" s="214"/>
      <c r="BI36" s="214"/>
      <c r="BJ36" s="214"/>
      <c r="BK36" s="214"/>
      <c r="BL36" s="214"/>
      <c r="BM36" s="214"/>
      <c r="BN36" s="214"/>
      <c r="BO36" s="214"/>
      <c r="BP36" s="214"/>
      <c r="BQ36" s="214"/>
      <c r="BR36" s="214"/>
    </row>
    <row r="37" spans="1:70" ht="29.25" customHeight="1" x14ac:dyDescent="0.25">
      <c r="A37" s="363" t="s">
        <v>98</v>
      </c>
      <c r="B37" s="367"/>
      <c r="C37" s="413" t="s">
        <v>99</v>
      </c>
      <c r="D37" s="413"/>
      <c r="E37" s="413"/>
      <c r="F37" s="203"/>
      <c r="G37" s="178"/>
      <c r="H37" s="398" t="s">
        <v>323</v>
      </c>
      <c r="I37" s="399"/>
      <c r="J37" s="399"/>
      <c r="K37" s="400"/>
      <c r="L37" s="400"/>
      <c r="M37" s="352"/>
      <c r="N37" s="352"/>
      <c r="O37" s="218"/>
      <c r="P37" s="218"/>
      <c r="Q37" s="218"/>
      <c r="R37" s="218"/>
      <c r="S37" s="230"/>
      <c r="T37" s="230"/>
      <c r="U37" s="230"/>
      <c r="V37" s="218"/>
      <c r="W37" s="218"/>
      <c r="X37" s="218"/>
      <c r="Y37" s="218"/>
      <c r="Z37" s="215"/>
      <c r="AA37" s="214"/>
      <c r="AB37" s="214"/>
      <c r="AC37" s="214"/>
      <c r="AD37" s="214"/>
      <c r="AE37" s="214"/>
      <c r="AF37" s="214"/>
      <c r="AG37" s="214"/>
      <c r="AH37" s="214"/>
      <c r="AI37" s="214"/>
      <c r="AJ37" s="214"/>
      <c r="AK37" s="214"/>
      <c r="AL37" s="214"/>
      <c r="AM37" s="214"/>
      <c r="AN37" s="214"/>
      <c r="AO37" s="214"/>
      <c r="AP37" s="214"/>
      <c r="AQ37" s="214"/>
      <c r="AR37" s="214"/>
      <c r="AS37" s="214"/>
      <c r="AT37" s="214"/>
      <c r="AU37" s="214"/>
      <c r="AV37" s="214"/>
      <c r="AW37" s="214"/>
      <c r="AX37" s="214"/>
      <c r="AY37" s="214"/>
      <c r="AZ37" s="214"/>
      <c r="BA37" s="214"/>
      <c r="BB37" s="214"/>
      <c r="BC37" s="214"/>
      <c r="BD37" s="214"/>
      <c r="BE37" s="214"/>
      <c r="BF37" s="214"/>
      <c r="BG37" s="214"/>
      <c r="BH37" s="214"/>
      <c r="BI37" s="214"/>
      <c r="BJ37" s="214"/>
      <c r="BK37" s="214"/>
      <c r="BL37" s="214"/>
      <c r="BM37" s="214"/>
      <c r="BN37" s="214"/>
      <c r="BO37" s="214"/>
      <c r="BP37" s="214"/>
      <c r="BQ37" s="214"/>
      <c r="BR37" s="214"/>
    </row>
    <row r="38" spans="1:70" ht="15.75" customHeight="1" x14ac:dyDescent="0.25">
      <c r="A38" s="365"/>
      <c r="B38" s="368"/>
      <c r="C38" s="452" t="s">
        <v>362</v>
      </c>
      <c r="D38" s="452"/>
      <c r="E38" s="452"/>
      <c r="F38" s="185" t="e">
        <f>'Earth Grid Calcs'!I35</f>
        <v>#DIV/0!</v>
      </c>
      <c r="G38" s="177"/>
      <c r="H38" s="401"/>
      <c r="I38" s="401"/>
      <c r="J38" s="401"/>
      <c r="K38" s="401"/>
      <c r="L38" s="402"/>
      <c r="M38" s="352"/>
      <c r="N38" s="352"/>
      <c r="O38" s="218"/>
      <c r="P38" s="230"/>
      <c r="Q38" s="230"/>
      <c r="R38" s="230"/>
      <c r="S38" s="230"/>
      <c r="T38" s="230"/>
      <c r="U38" s="230"/>
      <c r="V38" s="218"/>
      <c r="W38" s="218"/>
      <c r="X38" s="218"/>
      <c r="Y38" s="218"/>
      <c r="Z38" s="215"/>
      <c r="AA38" s="214"/>
      <c r="AB38" s="214"/>
      <c r="AC38" s="214"/>
      <c r="AD38" s="214"/>
      <c r="AE38" s="214"/>
      <c r="AF38" s="214"/>
      <c r="AG38" s="214"/>
      <c r="AH38" s="214"/>
      <c r="AI38" s="214"/>
      <c r="AJ38" s="214"/>
      <c r="AK38" s="214"/>
      <c r="AL38" s="214"/>
      <c r="AM38" s="214"/>
      <c r="AN38" s="214"/>
      <c r="AO38" s="214"/>
      <c r="AP38" s="214"/>
      <c r="AQ38" s="214"/>
      <c r="AR38" s="214"/>
      <c r="AS38" s="214"/>
      <c r="AT38" s="214"/>
      <c r="AU38" s="214"/>
      <c r="AV38" s="214"/>
      <c r="AW38" s="214"/>
      <c r="AX38" s="214"/>
      <c r="AY38" s="214"/>
      <c r="AZ38" s="214"/>
      <c r="BA38" s="214"/>
      <c r="BB38" s="214"/>
      <c r="BC38" s="214"/>
      <c r="BD38" s="214"/>
      <c r="BE38" s="214"/>
      <c r="BF38" s="214"/>
      <c r="BG38" s="214"/>
      <c r="BH38" s="214"/>
      <c r="BI38" s="214"/>
      <c r="BJ38" s="214"/>
      <c r="BK38" s="214"/>
      <c r="BL38" s="214"/>
      <c r="BM38" s="214"/>
      <c r="BN38" s="214"/>
      <c r="BO38" s="214"/>
      <c r="BP38" s="214"/>
      <c r="BQ38" s="214"/>
      <c r="BR38" s="214"/>
    </row>
    <row r="39" spans="1:70" ht="15.75" customHeight="1" thickBot="1" x14ac:dyDescent="0.3">
      <c r="A39" s="450"/>
      <c r="B39" s="451"/>
      <c r="C39" s="453" t="s">
        <v>154</v>
      </c>
      <c r="D39" s="453"/>
      <c r="E39" s="453"/>
      <c r="F39" s="184">
        <f>IF(MEN_type="Dense Urban",f_factor_calc,1)</f>
        <v>1</v>
      </c>
      <c r="G39" s="160"/>
      <c r="H39" s="403"/>
      <c r="I39" s="403"/>
      <c r="J39" s="403"/>
      <c r="K39" s="403"/>
      <c r="L39" s="404"/>
      <c r="M39" s="352"/>
      <c r="N39" s="352"/>
      <c r="O39" s="218"/>
      <c r="P39" s="230"/>
      <c r="Q39" s="230"/>
      <c r="R39" s="230"/>
      <c r="S39" s="230"/>
      <c r="T39" s="230"/>
      <c r="U39" s="230"/>
      <c r="V39" s="218"/>
      <c r="W39" s="218"/>
      <c r="X39" s="218"/>
      <c r="Y39" s="218"/>
      <c r="Z39" s="215"/>
      <c r="AA39" s="214"/>
      <c r="AB39" s="214"/>
      <c r="AC39" s="214"/>
      <c r="AD39" s="214"/>
      <c r="AE39" s="214"/>
      <c r="AF39" s="214"/>
      <c r="AG39" s="214"/>
      <c r="AH39" s="214"/>
      <c r="AI39" s="214"/>
      <c r="AJ39" s="214"/>
      <c r="AK39" s="214"/>
      <c r="AL39" s="214"/>
      <c r="AM39" s="214"/>
      <c r="AN39" s="214"/>
      <c r="AO39" s="214"/>
      <c r="AP39" s="214"/>
      <c r="AQ39" s="214"/>
      <c r="AR39" s="214"/>
      <c r="AS39" s="214"/>
      <c r="AT39" s="214"/>
      <c r="AU39" s="214"/>
      <c r="AV39" s="214"/>
      <c r="AW39" s="214"/>
      <c r="AX39" s="214"/>
      <c r="AY39" s="214"/>
      <c r="AZ39" s="214"/>
      <c r="BA39" s="214"/>
      <c r="BB39" s="214"/>
      <c r="BC39" s="214"/>
      <c r="BD39" s="214"/>
      <c r="BE39" s="214"/>
      <c r="BF39" s="214"/>
      <c r="BG39" s="214"/>
      <c r="BH39" s="214"/>
      <c r="BI39" s="214"/>
      <c r="BJ39" s="214"/>
      <c r="BK39" s="214"/>
      <c r="BL39" s="214"/>
      <c r="BM39" s="214"/>
      <c r="BN39" s="214"/>
      <c r="BO39" s="214"/>
      <c r="BP39" s="214"/>
      <c r="BQ39" s="214"/>
      <c r="BR39" s="214"/>
    </row>
    <row r="40" spans="1:70" ht="28.9" customHeight="1" thickBot="1" x14ac:dyDescent="0.25">
      <c r="A40" s="363" t="s">
        <v>324</v>
      </c>
      <c r="B40" s="367"/>
      <c r="C40" s="408" t="s">
        <v>356</v>
      </c>
      <c r="D40" s="409"/>
      <c r="E40" s="409"/>
      <c r="F40" s="204"/>
      <c r="G40" s="241" t="s">
        <v>36</v>
      </c>
      <c r="H40" s="508" t="str">
        <f>IF(fences_distance="","",EPR_at_x(F40,L40))</f>
        <v/>
      </c>
      <c r="I40" s="508"/>
      <c r="J40" s="507" t="str">
        <f>IF(F40="Yes", "Distance to asset (m):", " ")</f>
        <v xml:space="preserve"> </v>
      </c>
      <c r="K40" s="507"/>
      <c r="L40" s="316"/>
      <c r="M40" s="352"/>
      <c r="N40" s="352"/>
      <c r="O40" s="221"/>
      <c r="P40" s="231"/>
      <c r="Q40" s="231"/>
      <c r="R40" s="231"/>
      <c r="S40" s="231"/>
      <c r="T40" s="231"/>
      <c r="U40" s="231"/>
      <c r="V40" s="218"/>
      <c r="W40" s="218"/>
      <c r="X40" s="218"/>
      <c r="Y40" s="218"/>
      <c r="Z40" s="215"/>
      <c r="AA40" s="214"/>
      <c r="AB40" s="214"/>
      <c r="AC40" s="214"/>
      <c r="AD40" s="214"/>
      <c r="AE40" s="214"/>
      <c r="AF40" s="214"/>
      <c r="AG40" s="214"/>
      <c r="AH40" s="214"/>
      <c r="AI40" s="214"/>
      <c r="AJ40" s="214"/>
      <c r="AK40" s="214"/>
      <c r="AL40" s="214"/>
      <c r="AM40" s="214"/>
      <c r="AN40" s="214"/>
      <c r="AO40" s="214"/>
      <c r="AP40" s="214"/>
      <c r="AQ40" s="214"/>
      <c r="AR40" s="214"/>
      <c r="AS40" s="214"/>
      <c r="AT40" s="214"/>
      <c r="AU40" s="214"/>
      <c r="AV40" s="214"/>
      <c r="AW40" s="214"/>
      <c r="AX40" s="214"/>
      <c r="AY40" s="214"/>
      <c r="AZ40" s="214"/>
      <c r="BA40" s="214"/>
      <c r="BB40" s="214"/>
      <c r="BC40" s="214"/>
      <c r="BD40" s="214"/>
      <c r="BE40" s="214"/>
      <c r="BF40" s="214"/>
      <c r="BG40" s="214"/>
      <c r="BH40" s="214"/>
      <c r="BI40" s="214"/>
      <c r="BJ40" s="214"/>
      <c r="BK40" s="214"/>
      <c r="BL40" s="214"/>
      <c r="BM40" s="214"/>
      <c r="BN40" s="214"/>
      <c r="BO40" s="214"/>
      <c r="BP40" s="214"/>
      <c r="BQ40" s="214"/>
      <c r="BR40" s="214"/>
    </row>
    <row r="41" spans="1:70" ht="29.25" customHeight="1" x14ac:dyDescent="0.2">
      <c r="A41" s="365"/>
      <c r="B41" s="368"/>
      <c r="C41" s="469" t="s">
        <v>23</v>
      </c>
      <c r="D41" s="469"/>
      <c r="E41" s="469"/>
      <c r="F41" s="205"/>
      <c r="G41" s="242" t="s">
        <v>35</v>
      </c>
      <c r="H41" s="407" t="str">
        <f>IF(L41="","",EPR_at_x(F41,L41))</f>
        <v/>
      </c>
      <c r="I41" s="407"/>
      <c r="J41" s="502" t="str">
        <f>IF(F41="Yes", "Distance to fence (m):", " ")</f>
        <v xml:space="preserve"> </v>
      </c>
      <c r="K41" s="502"/>
      <c r="L41" s="181"/>
      <c r="M41" s="352"/>
      <c r="N41" s="352"/>
      <c r="O41" s="221"/>
      <c r="P41" s="231"/>
      <c r="Q41" s="231"/>
      <c r="R41" s="231"/>
      <c r="S41" s="231"/>
      <c r="T41" s="231"/>
      <c r="U41" s="231"/>
      <c r="V41" s="218"/>
      <c r="W41" s="218"/>
      <c r="X41" s="218"/>
      <c r="Y41" s="218"/>
      <c r="Z41" s="215"/>
      <c r="AA41" s="214"/>
      <c r="AB41" s="214"/>
      <c r="AC41" s="214"/>
      <c r="AD41" s="214"/>
      <c r="AE41" s="214"/>
      <c r="AF41" s="214"/>
      <c r="AG41" s="214"/>
      <c r="AH41" s="214"/>
      <c r="AI41" s="214"/>
      <c r="AJ41" s="214"/>
      <c r="AK41" s="214"/>
      <c r="AL41" s="214"/>
      <c r="AM41" s="214"/>
      <c r="AN41" s="214"/>
      <c r="AO41" s="214"/>
      <c r="AP41" s="214"/>
      <c r="AQ41" s="214"/>
      <c r="AR41" s="214"/>
      <c r="AS41" s="214"/>
      <c r="AT41" s="214"/>
      <c r="AU41" s="214"/>
      <c r="AV41" s="214"/>
      <c r="AW41" s="214"/>
      <c r="AX41" s="214"/>
      <c r="AY41" s="214"/>
      <c r="AZ41" s="214"/>
      <c r="BA41" s="214"/>
      <c r="BB41" s="214"/>
      <c r="BC41" s="214"/>
      <c r="BD41" s="214"/>
      <c r="BE41" s="214"/>
      <c r="BF41" s="214"/>
      <c r="BG41" s="214"/>
      <c r="BH41" s="214"/>
      <c r="BI41" s="214"/>
      <c r="BJ41" s="214"/>
      <c r="BK41" s="214"/>
      <c r="BL41" s="214"/>
      <c r="BM41" s="214"/>
      <c r="BN41" s="214"/>
      <c r="BO41" s="214"/>
      <c r="BP41" s="214"/>
      <c r="BQ41" s="214"/>
      <c r="BR41" s="214"/>
    </row>
    <row r="42" spans="1:70" ht="29.25" customHeight="1" x14ac:dyDescent="0.2">
      <c r="A42" s="365"/>
      <c r="B42" s="368"/>
      <c r="C42" s="408" t="s">
        <v>24</v>
      </c>
      <c r="D42" s="409"/>
      <c r="E42" s="409"/>
      <c r="F42" s="205"/>
      <c r="G42" s="241" t="s">
        <v>36</v>
      </c>
      <c r="H42" s="407" t="str">
        <f>IF(comms_distance="","",EPR_at_x(F42,L42))</f>
        <v/>
      </c>
      <c r="I42" s="407"/>
      <c r="J42" s="503" t="str">
        <f>IF(F42="Yes", "Distance to asset (m):", " ")</f>
        <v xml:space="preserve"> </v>
      </c>
      <c r="K42" s="503"/>
      <c r="L42" s="181"/>
      <c r="M42" s="352"/>
      <c r="N42" s="352"/>
      <c r="O42" s="221"/>
      <c r="P42" s="221"/>
      <c r="Q42" s="221"/>
      <c r="R42" s="221"/>
      <c r="S42" s="221"/>
      <c r="T42" s="221"/>
      <c r="U42" s="221"/>
      <c r="V42" s="218"/>
      <c r="W42" s="218"/>
      <c r="X42" s="218"/>
      <c r="Y42" s="218"/>
      <c r="Z42" s="215"/>
      <c r="AA42" s="214"/>
      <c r="AB42" s="214"/>
      <c r="AC42" s="214"/>
      <c r="AD42" s="214"/>
      <c r="AE42" s="214"/>
      <c r="AF42" s="214"/>
      <c r="AG42" s="214"/>
      <c r="AH42" s="214"/>
      <c r="AI42" s="214"/>
      <c r="AJ42" s="214"/>
      <c r="AK42" s="214"/>
      <c r="AL42" s="214"/>
      <c r="AM42" s="214"/>
      <c r="AN42" s="214"/>
      <c r="AO42" s="214"/>
      <c r="AP42" s="214"/>
      <c r="AQ42" s="214"/>
      <c r="AR42" s="214"/>
      <c r="AS42" s="214"/>
      <c r="AT42" s="214"/>
      <c r="AU42" s="214"/>
      <c r="AV42" s="214"/>
      <c r="AW42" s="214"/>
      <c r="AX42" s="214"/>
      <c r="AY42" s="214"/>
      <c r="AZ42" s="214"/>
      <c r="BA42" s="214"/>
      <c r="BB42" s="214"/>
      <c r="BC42" s="214"/>
      <c r="BD42" s="214"/>
      <c r="BE42" s="214"/>
      <c r="BF42" s="214"/>
      <c r="BG42" s="214"/>
      <c r="BH42" s="214"/>
      <c r="BI42" s="214"/>
      <c r="BJ42" s="214"/>
      <c r="BK42" s="214"/>
      <c r="BL42" s="214"/>
      <c r="BM42" s="214"/>
      <c r="BN42" s="214"/>
      <c r="BO42" s="214"/>
      <c r="BP42" s="214"/>
      <c r="BQ42" s="214"/>
      <c r="BR42" s="214"/>
    </row>
    <row r="43" spans="1:70" ht="30" customHeight="1" x14ac:dyDescent="0.2">
      <c r="A43" s="365"/>
      <c r="B43" s="368"/>
      <c r="C43" s="408" t="s">
        <v>92</v>
      </c>
      <c r="D43" s="408"/>
      <c r="E43" s="408"/>
      <c r="F43" s="205"/>
      <c r="G43" s="241" t="s">
        <v>36</v>
      </c>
      <c r="H43" s="407" t="str">
        <f>IF(pipes_distance="","",EPR_at_x(F43,L43))</f>
        <v/>
      </c>
      <c r="I43" s="407"/>
      <c r="J43" s="503" t="str">
        <f>IF(F43="Yes", "Distance to asset (m):", " ")</f>
        <v xml:space="preserve"> </v>
      </c>
      <c r="K43" s="503"/>
      <c r="L43" s="181"/>
      <c r="M43" s="352"/>
      <c r="N43" s="352"/>
      <c r="O43" s="221"/>
      <c r="P43" s="221"/>
      <c r="Q43" s="221"/>
      <c r="R43" s="221"/>
      <c r="S43" s="221"/>
      <c r="T43" s="221"/>
      <c r="U43" s="221"/>
      <c r="V43" s="218"/>
      <c r="W43" s="218"/>
      <c r="X43" s="218"/>
      <c r="Y43" s="218"/>
      <c r="Z43" s="215"/>
      <c r="AA43" s="214"/>
      <c r="AB43" s="214"/>
      <c r="AC43" s="214"/>
      <c r="AD43" s="214"/>
      <c r="AE43" s="214"/>
      <c r="AF43" s="214"/>
      <c r="AG43" s="214"/>
      <c r="AH43" s="214"/>
      <c r="AI43" s="214"/>
      <c r="AJ43" s="214"/>
      <c r="AK43" s="214"/>
      <c r="AL43" s="214"/>
      <c r="AM43" s="214"/>
      <c r="AN43" s="214"/>
      <c r="AO43" s="214"/>
      <c r="AP43" s="214"/>
      <c r="AQ43" s="214"/>
      <c r="AR43" s="214"/>
      <c r="AS43" s="214"/>
      <c r="AT43" s="214"/>
      <c r="AU43" s="214"/>
      <c r="AV43" s="214"/>
      <c r="AW43" s="214"/>
      <c r="AX43" s="214"/>
      <c r="AY43" s="214"/>
      <c r="AZ43" s="214"/>
      <c r="BA43" s="214"/>
      <c r="BB43" s="214"/>
      <c r="BC43" s="214"/>
      <c r="BD43" s="214"/>
      <c r="BE43" s="214"/>
      <c r="BF43" s="214"/>
      <c r="BG43" s="214"/>
      <c r="BH43" s="214"/>
      <c r="BI43" s="214"/>
      <c r="BJ43" s="214"/>
      <c r="BK43" s="214"/>
      <c r="BL43" s="214"/>
      <c r="BM43" s="214"/>
      <c r="BN43" s="214"/>
      <c r="BO43" s="214"/>
      <c r="BP43" s="214"/>
      <c r="BQ43" s="214"/>
      <c r="BR43" s="214"/>
    </row>
    <row r="44" spans="1:70" ht="30" customHeight="1" thickBot="1" x14ac:dyDescent="0.25">
      <c r="A44" s="365"/>
      <c r="B44" s="368"/>
      <c r="C44" s="406" t="s">
        <v>378</v>
      </c>
      <c r="D44" s="406"/>
      <c r="E44" s="406"/>
      <c r="F44" s="205"/>
      <c r="G44" s="240" t="s">
        <v>379</v>
      </c>
      <c r="H44" s="410" t="str">
        <f>IF(L44="","",(EPR_at_x(F44,L44-1)-EPR_at_x(F44,L44)))</f>
        <v/>
      </c>
      <c r="I44" s="410"/>
      <c r="J44" s="411" t="s">
        <v>380</v>
      </c>
      <c r="K44" s="412"/>
      <c r="L44" s="313"/>
      <c r="M44" s="352"/>
      <c r="N44" s="352"/>
      <c r="O44" s="221"/>
      <c r="P44" s="221"/>
      <c r="Q44" s="221"/>
      <c r="R44" s="221"/>
      <c r="S44" s="221"/>
      <c r="T44" s="221"/>
      <c r="U44" s="221"/>
      <c r="V44" s="218"/>
      <c r="W44" s="218"/>
      <c r="X44" s="218"/>
      <c r="Y44" s="218"/>
      <c r="Z44" s="215"/>
      <c r="AA44" s="214"/>
      <c r="AB44" s="214"/>
      <c r="AC44" s="214"/>
      <c r="AD44" s="214"/>
      <c r="AE44" s="214"/>
      <c r="AF44" s="214"/>
      <c r="AG44" s="214"/>
      <c r="AH44" s="214"/>
      <c r="AI44" s="214"/>
      <c r="AJ44" s="214"/>
      <c r="AK44" s="214"/>
      <c r="AL44" s="214"/>
      <c r="AM44" s="214"/>
      <c r="AN44" s="214"/>
      <c r="AO44" s="214"/>
      <c r="AP44" s="214"/>
      <c r="AQ44" s="214"/>
      <c r="AR44" s="214"/>
      <c r="AS44" s="214"/>
      <c r="AT44" s="214"/>
      <c r="AU44" s="214"/>
      <c r="AV44" s="214"/>
      <c r="AW44" s="214"/>
      <c r="AX44" s="214"/>
      <c r="AY44" s="214"/>
      <c r="AZ44" s="214"/>
      <c r="BA44" s="214"/>
      <c r="BB44" s="214"/>
      <c r="BC44" s="214"/>
      <c r="BD44" s="214"/>
      <c r="BE44" s="214"/>
      <c r="BF44" s="214"/>
      <c r="BG44" s="214"/>
      <c r="BH44" s="214"/>
      <c r="BI44" s="214"/>
      <c r="BJ44" s="214"/>
      <c r="BK44" s="214"/>
      <c r="BL44" s="214"/>
      <c r="BM44" s="214"/>
      <c r="BN44" s="214"/>
      <c r="BO44" s="214"/>
      <c r="BP44" s="214"/>
      <c r="BQ44" s="214"/>
      <c r="BR44" s="214"/>
    </row>
    <row r="45" spans="1:70" ht="15.75" customHeight="1" x14ac:dyDescent="0.25">
      <c r="A45" s="363" t="s">
        <v>31</v>
      </c>
      <c r="B45" s="367"/>
      <c r="C45" s="464" t="s">
        <v>471</v>
      </c>
      <c r="D45" s="465"/>
      <c r="E45" s="465"/>
      <c r="F45" s="320" t="e">
        <f>('Fault current calcs'!H15)/1.1</f>
        <v>#DIV/0!</v>
      </c>
      <c r="G45" s="168"/>
      <c r="H45" s="388"/>
      <c r="I45" s="389"/>
      <c r="J45" s="390"/>
      <c r="K45" s="317"/>
      <c r="L45" s="314"/>
      <c r="M45" s="351"/>
      <c r="N45" s="352"/>
      <c r="O45" s="218"/>
      <c r="P45" s="218"/>
      <c r="Q45" s="218"/>
      <c r="R45" s="218"/>
      <c r="S45" s="218"/>
      <c r="T45" s="218"/>
      <c r="U45" s="218"/>
      <c r="V45" s="218"/>
      <c r="W45" s="218"/>
      <c r="X45" s="218"/>
      <c r="Y45" s="218"/>
      <c r="Z45" s="215"/>
      <c r="AA45" s="214"/>
      <c r="AB45" s="214"/>
      <c r="AC45" s="214"/>
      <c r="AD45" s="214"/>
      <c r="AE45" s="214"/>
      <c r="AF45" s="214"/>
      <c r="AG45" s="214"/>
      <c r="AH45" s="214"/>
      <c r="AI45" s="214"/>
      <c r="AJ45" s="214"/>
      <c r="AK45" s="214"/>
      <c r="AL45" s="214"/>
      <c r="AM45" s="214"/>
      <c r="AN45" s="214"/>
      <c r="AO45" s="214"/>
      <c r="AP45" s="214"/>
      <c r="AQ45" s="214"/>
      <c r="AR45" s="214"/>
      <c r="AS45" s="214"/>
      <c r="AT45" s="214"/>
      <c r="AU45" s="214"/>
      <c r="AV45" s="214"/>
      <c r="AW45" s="214"/>
      <c r="AX45" s="214"/>
      <c r="AY45" s="214"/>
      <c r="AZ45" s="214"/>
      <c r="BA45" s="214"/>
      <c r="BB45" s="214"/>
      <c r="BC45" s="214"/>
      <c r="BD45" s="214"/>
      <c r="BE45" s="214"/>
      <c r="BF45" s="214"/>
      <c r="BG45" s="214"/>
      <c r="BH45" s="214"/>
      <c r="BI45" s="214"/>
      <c r="BJ45" s="214"/>
      <c r="BK45" s="214"/>
      <c r="BL45" s="214"/>
      <c r="BM45" s="214"/>
      <c r="BN45" s="214"/>
      <c r="BO45" s="214"/>
      <c r="BP45" s="214"/>
      <c r="BQ45" s="214"/>
      <c r="BR45" s="214"/>
    </row>
    <row r="46" spans="1:70" ht="15.75" customHeight="1" x14ac:dyDescent="0.25">
      <c r="A46" s="365"/>
      <c r="B46" s="368"/>
      <c r="C46" s="473" t="s">
        <v>479</v>
      </c>
      <c r="D46" s="474"/>
      <c r="E46" s="474"/>
      <c r="F46" s="321" t="e">
        <f>If_min</f>
        <v>#DIV/0!</v>
      </c>
      <c r="G46" s="169"/>
      <c r="H46" s="391" t="s">
        <v>470</v>
      </c>
      <c r="I46" s="392"/>
      <c r="J46" s="393"/>
      <c r="K46" s="311" t="e">
        <f>IF(AND(ef_settings_used="User Defined",AddTimeStatus="Yes"), IF(AND(SEF_YN="Yes",SEF_operates_YN="Yes"),CEILING(Protection!C2,0.1),IF(Protection!B2&gt;5,"Inf",CEILING(Protection!C2,0.1))) +AddTime, IF(AND(SEF_YN="Yes",SEF_operates_YN="Yes"),CEILING(Protection!C2,0.1),IF(Protection!B2&gt;5,"Inf",CEILING(Protection!C2,0.1))))</f>
        <v>#DIV/0!</v>
      </c>
      <c r="L46" s="310" t="e">
        <f>IF(AND(SEF_YN="Yes",SEF_operates_YN="Yes"),CEILING(1000*primary_EF_time,1),IF(Protection!B2&gt;5,"Inf",CEILING(1000*primary_EF_time,1)))</f>
        <v>#DIV/0!</v>
      </c>
      <c r="M46" s="351"/>
      <c r="N46" s="352"/>
      <c r="O46" s="214"/>
      <c r="P46" s="214"/>
      <c r="Q46" s="214"/>
      <c r="R46" s="218"/>
      <c r="S46" s="218"/>
      <c r="T46" s="218"/>
      <c r="U46" s="218"/>
      <c r="V46" s="218"/>
      <c r="W46" s="218"/>
      <c r="X46" s="218"/>
      <c r="Y46" s="218"/>
      <c r="Z46" s="215"/>
      <c r="AA46" s="214"/>
      <c r="AB46" s="214"/>
      <c r="AC46" s="214"/>
      <c r="AD46" s="214"/>
      <c r="AE46" s="214"/>
      <c r="AF46" s="214"/>
      <c r="AG46" s="214"/>
      <c r="AH46" s="214"/>
      <c r="AI46" s="214"/>
      <c r="AJ46" s="214"/>
      <c r="AK46" s="214"/>
      <c r="AL46" s="214"/>
      <c r="AM46" s="214"/>
      <c r="AN46" s="214"/>
      <c r="AO46" s="214"/>
      <c r="AP46" s="214"/>
      <c r="AQ46" s="214"/>
      <c r="AR46" s="214"/>
      <c r="AS46" s="214"/>
      <c r="AT46" s="214"/>
      <c r="AU46" s="214"/>
      <c r="AV46" s="214"/>
      <c r="AW46" s="214"/>
      <c r="AX46" s="214"/>
      <c r="AY46" s="214"/>
      <c r="AZ46" s="214"/>
      <c r="BA46" s="214"/>
      <c r="BB46" s="214"/>
      <c r="BC46" s="214"/>
      <c r="BD46" s="214"/>
      <c r="BE46" s="214"/>
      <c r="BF46" s="214"/>
      <c r="BG46" s="214"/>
      <c r="BH46" s="214"/>
      <c r="BI46" s="214"/>
      <c r="BJ46" s="214"/>
      <c r="BK46" s="214"/>
      <c r="BL46" s="214"/>
      <c r="BM46" s="214"/>
      <c r="BN46" s="214"/>
      <c r="BO46" s="214"/>
      <c r="BP46" s="214"/>
      <c r="BQ46" s="214"/>
      <c r="BR46" s="214"/>
    </row>
    <row r="47" spans="1:70" ht="15.75" customHeight="1" x14ac:dyDescent="0.25">
      <c r="A47" s="365"/>
      <c r="B47" s="368"/>
      <c r="C47" s="604" t="s">
        <v>171</v>
      </c>
      <c r="D47" s="605"/>
      <c r="E47" s="606"/>
      <c r="F47" s="610" t="e">
        <f>IMABS('Fault current calcs'!E16)</f>
        <v>#DIV/0!</v>
      </c>
      <c r="G47" s="169"/>
      <c r="H47" s="416" t="s">
        <v>476</v>
      </c>
      <c r="I47" s="417"/>
      <c r="J47" s="418"/>
      <c r="K47" s="312" t="str">
        <f>IF(OR(ef_settings_used="Dropout fuse",F11="Pole Mounted Substation"),fuse(Ifmax_total,fuse_rating),"Not fused")</f>
        <v>Not fused</v>
      </c>
      <c r="L47" s="315" t="str">
        <f>IF(OR(ef_settings_used="Dropout fuse",F11="Pole Mounted Substation"),1000*fuse(Ifmax_total,fuse_rating),"Not fused")</f>
        <v>Not fused</v>
      </c>
      <c r="M47" s="351"/>
      <c r="N47" s="352"/>
      <c r="O47" s="214"/>
      <c r="P47" s="214"/>
      <c r="Q47" s="214"/>
      <c r="R47" s="218"/>
      <c r="S47" s="218"/>
      <c r="T47" s="218"/>
      <c r="U47" s="218"/>
      <c r="V47" s="218"/>
      <c r="W47" s="218"/>
      <c r="X47" s="218"/>
      <c r="Y47" s="218"/>
      <c r="Z47" s="215"/>
      <c r="AA47" s="214"/>
      <c r="AB47" s="214"/>
      <c r="AC47" s="214"/>
      <c r="AD47" s="214"/>
      <c r="AE47" s="214"/>
      <c r="AF47" s="214"/>
      <c r="AG47" s="214"/>
      <c r="AH47" s="214"/>
      <c r="AI47" s="214"/>
      <c r="AJ47" s="214"/>
      <c r="AK47" s="214"/>
      <c r="AL47" s="214"/>
      <c r="AM47" s="214"/>
      <c r="AN47" s="214"/>
      <c r="AO47" s="214"/>
      <c r="AP47" s="214"/>
      <c r="AQ47" s="214"/>
      <c r="AR47" s="214"/>
      <c r="AS47" s="214"/>
      <c r="AT47" s="214"/>
      <c r="AU47" s="214"/>
      <c r="AV47" s="214"/>
      <c r="AW47" s="214"/>
      <c r="AX47" s="214"/>
      <c r="AY47" s="214"/>
      <c r="AZ47" s="214"/>
      <c r="BA47" s="214"/>
      <c r="BB47" s="214"/>
      <c r="BC47" s="214"/>
      <c r="BD47" s="214"/>
      <c r="BE47" s="214"/>
      <c r="BF47" s="214"/>
      <c r="BG47" s="214"/>
      <c r="BH47" s="214"/>
      <c r="BI47" s="214"/>
      <c r="BJ47" s="214"/>
      <c r="BK47" s="214"/>
      <c r="BL47" s="214"/>
      <c r="BM47" s="214"/>
      <c r="BN47" s="214"/>
      <c r="BO47" s="214"/>
      <c r="BP47" s="214"/>
      <c r="BQ47" s="214"/>
      <c r="BR47" s="214"/>
    </row>
    <row r="48" spans="1:70" ht="15.75" customHeight="1" thickBot="1" x14ac:dyDescent="0.3">
      <c r="A48" s="450"/>
      <c r="B48" s="451"/>
      <c r="C48" s="607"/>
      <c r="D48" s="608"/>
      <c r="E48" s="609"/>
      <c r="F48" s="611"/>
      <c r="G48" s="170"/>
      <c r="H48" s="426" t="s">
        <v>32</v>
      </c>
      <c r="I48" s="427"/>
      <c r="J48" s="428"/>
      <c r="K48" s="421" t="e">
        <f>IF(AND('Fault current calcs'!E20&gt;(IF(ef_settings_used="Default",20,(IF(OR(ef_settings_used="Dropout fuse",ef_settings_used="User Defined"),SEF_User*2)))),K21="Yes"),"Yes","No")</f>
        <v>#DIV/0!</v>
      </c>
      <c r="L48" s="422"/>
      <c r="M48" s="351"/>
      <c r="N48" s="352"/>
      <c r="O48" s="214"/>
      <c r="P48" s="214"/>
      <c r="Q48" s="214"/>
      <c r="R48" s="218"/>
      <c r="S48" s="218"/>
      <c r="T48" s="218"/>
      <c r="U48" s="218"/>
      <c r="V48" s="218"/>
      <c r="W48" s="218"/>
      <c r="X48" s="218"/>
      <c r="Y48" s="218"/>
      <c r="Z48" s="215"/>
      <c r="AA48" s="214"/>
      <c r="AB48" s="214"/>
      <c r="AC48" s="214"/>
      <c r="AD48" s="214"/>
      <c r="AE48" s="214"/>
      <c r="AF48" s="214"/>
      <c r="AG48" s="214"/>
      <c r="AH48" s="214"/>
      <c r="AI48" s="214"/>
      <c r="AJ48" s="214"/>
      <c r="AK48" s="214"/>
      <c r="AL48" s="214"/>
      <c r="AM48" s="214"/>
      <c r="AN48" s="214"/>
      <c r="AO48" s="214"/>
      <c r="AP48" s="214"/>
      <c r="AQ48" s="214"/>
      <c r="AR48" s="214"/>
      <c r="AS48" s="214"/>
      <c r="AT48" s="214"/>
      <c r="AU48" s="214"/>
      <c r="AV48" s="214"/>
      <c r="AW48" s="214"/>
      <c r="AX48" s="214"/>
      <c r="AY48" s="214"/>
      <c r="AZ48" s="214"/>
      <c r="BA48" s="214"/>
      <c r="BB48" s="214"/>
      <c r="BC48" s="214"/>
      <c r="BD48" s="214"/>
      <c r="BE48" s="214"/>
      <c r="BF48" s="214"/>
      <c r="BG48" s="214"/>
      <c r="BH48" s="214"/>
      <c r="BI48" s="214"/>
      <c r="BJ48" s="214"/>
      <c r="BK48" s="214"/>
      <c r="BL48" s="214"/>
      <c r="BM48" s="214"/>
      <c r="BN48" s="214"/>
      <c r="BO48" s="214"/>
      <c r="BP48" s="214"/>
      <c r="BQ48" s="214"/>
      <c r="BR48" s="214"/>
    </row>
    <row r="49" spans="1:70" ht="15" customHeight="1" x14ac:dyDescent="0.25">
      <c r="A49" s="363" t="s">
        <v>372</v>
      </c>
      <c r="B49" s="367"/>
      <c r="C49" s="369" t="s">
        <v>117</v>
      </c>
      <c r="D49" s="369"/>
      <c r="E49" s="369"/>
      <c r="F49" s="206" t="e">
        <f ca="1">'Safety Criteria'!D4</f>
        <v>#DIV/0!</v>
      </c>
      <c r="G49" s="447"/>
      <c r="H49" s="437" t="s">
        <v>135</v>
      </c>
      <c r="I49" s="438"/>
      <c r="J49" s="439"/>
      <c r="K49" s="435"/>
      <c r="L49" s="436"/>
      <c r="M49" s="352"/>
      <c r="N49" s="352"/>
      <c r="O49" s="214"/>
      <c r="P49" s="214"/>
      <c r="Q49" s="214"/>
      <c r="R49" s="218"/>
      <c r="S49" s="218"/>
      <c r="T49" s="218"/>
      <c r="U49" s="218"/>
      <c r="V49" s="218"/>
      <c r="W49" s="218"/>
      <c r="X49" s="218"/>
      <c r="Y49" s="218"/>
      <c r="Z49" s="215"/>
      <c r="AA49" s="214"/>
      <c r="AB49" s="214"/>
      <c r="AC49" s="214"/>
      <c r="AD49" s="214"/>
      <c r="AE49" s="214"/>
      <c r="AF49" s="214"/>
      <c r="AG49" s="214"/>
      <c r="AH49" s="214"/>
      <c r="AI49" s="214"/>
      <c r="AJ49" s="214"/>
      <c r="AK49" s="214"/>
      <c r="AL49" s="214"/>
      <c r="AM49" s="214"/>
      <c r="AN49" s="214"/>
      <c r="AO49" s="214"/>
      <c r="AP49" s="214"/>
      <c r="AQ49" s="214"/>
      <c r="AR49" s="214"/>
      <c r="AS49" s="214"/>
      <c r="AT49" s="214"/>
      <c r="AU49" s="214"/>
      <c r="AV49" s="214"/>
      <c r="AW49" s="214"/>
      <c r="AX49" s="214"/>
      <c r="AY49" s="214"/>
      <c r="AZ49" s="214"/>
      <c r="BA49" s="214"/>
      <c r="BB49" s="214"/>
      <c r="BC49" s="214"/>
      <c r="BD49" s="214"/>
      <c r="BE49" s="214"/>
      <c r="BF49" s="214"/>
      <c r="BG49" s="214"/>
      <c r="BH49" s="214"/>
      <c r="BI49" s="214"/>
      <c r="BJ49" s="214"/>
      <c r="BK49" s="214"/>
      <c r="BL49" s="214"/>
      <c r="BM49" s="214"/>
      <c r="BN49" s="214"/>
      <c r="BO49" s="214"/>
      <c r="BP49" s="214"/>
      <c r="BQ49" s="214"/>
      <c r="BR49" s="214"/>
    </row>
    <row r="50" spans="1:70" ht="15" customHeight="1" x14ac:dyDescent="0.2">
      <c r="A50" s="365"/>
      <c r="B50" s="368"/>
      <c r="C50" s="370" t="s">
        <v>118</v>
      </c>
      <c r="D50" s="370"/>
      <c r="E50" s="370"/>
      <c r="F50" s="207" t="e">
        <f ca="1">'Safety Criteria'!P4</f>
        <v>#DIV/0!</v>
      </c>
      <c r="G50" s="448"/>
      <c r="H50" s="432" t="s">
        <v>136</v>
      </c>
      <c r="I50" s="432"/>
      <c r="J50" s="432"/>
      <c r="K50" s="429"/>
      <c r="L50" s="429"/>
      <c r="M50" s="352"/>
      <c r="N50" s="352"/>
      <c r="O50" s="214"/>
      <c r="P50" s="214"/>
      <c r="Q50" s="214"/>
      <c r="R50" s="218"/>
      <c r="S50" s="218"/>
      <c r="T50" s="218"/>
      <c r="U50" s="218"/>
      <c r="V50" s="218"/>
      <c r="W50" s="218"/>
      <c r="X50" s="218"/>
      <c r="Y50" s="218"/>
      <c r="Z50" s="215"/>
      <c r="AA50" s="214"/>
      <c r="AB50" s="214"/>
      <c r="AC50" s="214"/>
      <c r="AD50" s="214"/>
      <c r="AE50" s="214"/>
      <c r="AF50" s="214"/>
      <c r="AG50" s="214"/>
      <c r="AH50" s="214"/>
      <c r="AI50" s="214"/>
      <c r="AJ50" s="214"/>
      <c r="AK50" s="214"/>
      <c r="AL50" s="214"/>
      <c r="AM50" s="214"/>
      <c r="AN50" s="214"/>
      <c r="AO50" s="214"/>
      <c r="AP50" s="214"/>
      <c r="AQ50" s="214"/>
      <c r="AR50" s="214"/>
      <c r="AS50" s="214"/>
      <c r="AT50" s="214"/>
      <c r="AU50" s="214"/>
      <c r="AV50" s="214"/>
      <c r="AW50" s="214"/>
      <c r="AX50" s="214"/>
      <c r="AY50" s="214"/>
      <c r="AZ50" s="214"/>
      <c r="BA50" s="214"/>
      <c r="BB50" s="214"/>
      <c r="BC50" s="214"/>
      <c r="BD50" s="214"/>
      <c r="BE50" s="214"/>
      <c r="BF50" s="214"/>
      <c r="BG50" s="214"/>
      <c r="BH50" s="214"/>
      <c r="BI50" s="214"/>
      <c r="BJ50" s="214"/>
      <c r="BK50" s="214"/>
      <c r="BL50" s="214"/>
      <c r="BM50" s="214"/>
      <c r="BN50" s="214"/>
      <c r="BO50" s="214"/>
      <c r="BP50" s="214"/>
      <c r="BQ50" s="214"/>
      <c r="BR50" s="214"/>
    </row>
    <row r="51" spans="1:70" ht="15" customHeight="1" x14ac:dyDescent="0.2">
      <c r="A51" s="365"/>
      <c r="B51" s="368"/>
      <c r="C51" s="370" t="s">
        <v>358</v>
      </c>
      <c r="D51" s="370"/>
      <c r="E51" s="370"/>
      <c r="F51" s="207" t="e">
        <f ca="1">'Safety Criteria'!AA4</f>
        <v>#DIV/0!</v>
      </c>
      <c r="G51" s="448"/>
      <c r="H51" s="433"/>
      <c r="I51" s="433"/>
      <c r="J51" s="433"/>
      <c r="K51" s="430"/>
      <c r="L51" s="430"/>
      <c r="M51" s="352"/>
      <c r="N51" s="352"/>
      <c r="O51" s="218"/>
      <c r="P51" s="218"/>
      <c r="Q51" s="218"/>
      <c r="R51" s="218"/>
      <c r="S51" s="218"/>
      <c r="T51" s="218"/>
      <c r="U51" s="218"/>
      <c r="V51" s="218"/>
      <c r="W51" s="218"/>
      <c r="X51" s="218"/>
      <c r="Y51" s="218"/>
      <c r="Z51" s="215"/>
      <c r="AA51" s="214"/>
      <c r="AB51" s="214"/>
      <c r="AC51" s="214"/>
      <c r="AD51" s="214"/>
      <c r="AE51" s="214"/>
      <c r="AF51" s="214"/>
      <c r="AG51" s="214"/>
      <c r="AH51" s="214"/>
      <c r="AI51" s="214"/>
      <c r="AJ51" s="214"/>
      <c r="AK51" s="214"/>
      <c r="AL51" s="214"/>
      <c r="AM51" s="214"/>
      <c r="AN51" s="214"/>
      <c r="AO51" s="214"/>
      <c r="AP51" s="214"/>
      <c r="AQ51" s="214"/>
      <c r="AR51" s="214"/>
      <c r="AS51" s="214"/>
      <c r="AT51" s="214"/>
      <c r="AU51" s="214"/>
      <c r="AV51" s="214"/>
      <c r="AW51" s="214"/>
      <c r="AX51" s="214"/>
      <c r="AY51" s="214"/>
      <c r="AZ51" s="214"/>
      <c r="BA51" s="214"/>
      <c r="BB51" s="214"/>
      <c r="BC51" s="214"/>
      <c r="BD51" s="214"/>
      <c r="BE51" s="214"/>
      <c r="BF51" s="214"/>
      <c r="BG51" s="214"/>
      <c r="BH51" s="214"/>
      <c r="BI51" s="214"/>
      <c r="BJ51" s="214"/>
      <c r="BK51" s="214"/>
      <c r="BL51" s="214"/>
      <c r="BM51" s="214"/>
      <c r="BN51" s="214"/>
      <c r="BO51" s="214"/>
      <c r="BP51" s="214"/>
      <c r="BQ51" s="214"/>
      <c r="BR51" s="214"/>
    </row>
    <row r="52" spans="1:70" ht="15" customHeight="1" thickBot="1" x14ac:dyDescent="0.25">
      <c r="A52" s="365"/>
      <c r="B52" s="368"/>
      <c r="C52" s="459" t="s">
        <v>347</v>
      </c>
      <c r="D52" s="459"/>
      <c r="E52" s="459"/>
      <c r="F52" s="186" t="e">
        <f ca="1">'Safety Criteria'!AH4</f>
        <v>#DIV/0!</v>
      </c>
      <c r="G52" s="448"/>
      <c r="H52" s="433"/>
      <c r="I52" s="433"/>
      <c r="J52" s="433"/>
      <c r="K52" s="430"/>
      <c r="L52" s="430"/>
      <c r="M52" s="352"/>
      <c r="N52" s="352"/>
      <c r="O52" s="215"/>
      <c r="P52" s="215"/>
      <c r="Q52" s="215"/>
      <c r="R52" s="215"/>
      <c r="S52" s="215"/>
      <c r="T52" s="215"/>
      <c r="U52" s="215"/>
      <c r="V52" s="215"/>
      <c r="W52" s="215"/>
      <c r="X52" s="215"/>
      <c r="Y52" s="215"/>
      <c r="Z52" s="215"/>
      <c r="AA52" s="214"/>
      <c r="AB52" s="214"/>
      <c r="AC52" s="214"/>
      <c r="AD52" s="214"/>
      <c r="AE52" s="214"/>
      <c r="AF52" s="214"/>
      <c r="AG52" s="214"/>
      <c r="AH52" s="214"/>
      <c r="AI52" s="214"/>
      <c r="AJ52" s="214"/>
      <c r="AK52" s="214"/>
      <c r="AL52" s="214"/>
      <c r="AM52" s="214"/>
      <c r="AN52" s="214"/>
      <c r="AO52" s="214"/>
      <c r="AP52" s="214"/>
      <c r="AQ52" s="214"/>
      <c r="AR52" s="214"/>
      <c r="AS52" s="214"/>
      <c r="AT52" s="214"/>
      <c r="AU52" s="214"/>
      <c r="AV52" s="214"/>
      <c r="AW52" s="214"/>
      <c r="AX52" s="214"/>
      <c r="AY52" s="214"/>
      <c r="AZ52" s="214"/>
      <c r="BA52" s="214"/>
      <c r="BB52" s="214"/>
      <c r="BC52" s="214"/>
      <c r="BD52" s="214"/>
      <c r="BE52" s="214"/>
      <c r="BF52" s="214"/>
      <c r="BG52" s="214"/>
      <c r="BH52" s="214"/>
      <c r="BI52" s="214"/>
      <c r="BJ52" s="214"/>
      <c r="BK52" s="214"/>
      <c r="BL52" s="214"/>
      <c r="BM52" s="214"/>
      <c r="BN52" s="214"/>
      <c r="BO52" s="214"/>
      <c r="BP52" s="214"/>
      <c r="BQ52" s="214"/>
      <c r="BR52" s="214"/>
    </row>
    <row r="53" spans="1:70" ht="15" customHeight="1" x14ac:dyDescent="0.2">
      <c r="A53" s="365"/>
      <c r="B53" s="368"/>
      <c r="C53" s="470" t="s">
        <v>390</v>
      </c>
      <c r="D53" s="471"/>
      <c r="E53" s="472"/>
      <c r="F53" s="208" t="e">
        <f ca="1">'Safety Criteria'!BA4</f>
        <v>#DIV/0!</v>
      </c>
      <c r="G53" s="448"/>
      <c r="H53" s="433"/>
      <c r="I53" s="433"/>
      <c r="J53" s="433"/>
      <c r="K53" s="430"/>
      <c r="L53" s="430"/>
      <c r="M53" s="352"/>
      <c r="N53" s="352"/>
      <c r="O53" s="214"/>
      <c r="P53" s="214"/>
      <c r="Q53" s="214"/>
      <c r="R53" s="214"/>
      <c r="S53" s="214"/>
      <c r="T53" s="214"/>
      <c r="U53" s="214"/>
      <c r="V53" s="214"/>
      <c r="W53" s="214"/>
      <c r="X53" s="214"/>
      <c r="Y53" s="214"/>
      <c r="Z53" s="214"/>
      <c r="AA53" s="214"/>
      <c r="AB53" s="214"/>
      <c r="AC53" s="214"/>
      <c r="AD53" s="214"/>
      <c r="AE53" s="214"/>
      <c r="AF53" s="214"/>
      <c r="AG53" s="214"/>
      <c r="AH53" s="214"/>
      <c r="AI53" s="214"/>
      <c r="AJ53" s="214"/>
      <c r="AK53" s="214"/>
      <c r="AL53" s="214"/>
      <c r="AM53" s="214"/>
      <c r="AN53" s="214"/>
      <c r="AO53" s="214"/>
      <c r="AP53" s="214"/>
      <c r="AQ53" s="214"/>
      <c r="AR53" s="214"/>
      <c r="AS53" s="214"/>
      <c r="AT53" s="214"/>
      <c r="AU53" s="214"/>
      <c r="AV53" s="214"/>
      <c r="AW53" s="214"/>
      <c r="AX53" s="214"/>
      <c r="AY53" s="214"/>
      <c r="AZ53" s="214"/>
      <c r="BA53" s="214"/>
      <c r="BB53" s="214"/>
      <c r="BC53" s="214"/>
      <c r="BD53" s="214"/>
      <c r="BE53" s="214"/>
      <c r="BF53" s="214"/>
      <c r="BG53" s="214"/>
      <c r="BH53" s="214"/>
      <c r="BI53" s="214"/>
      <c r="BJ53" s="214"/>
      <c r="BK53" s="214"/>
      <c r="BL53" s="214"/>
      <c r="BM53" s="214"/>
      <c r="BN53" s="214"/>
      <c r="BO53" s="214"/>
      <c r="BP53" s="214"/>
      <c r="BQ53" s="214"/>
      <c r="BR53" s="214"/>
    </row>
    <row r="54" spans="1:70" ht="15" customHeight="1" thickBot="1" x14ac:dyDescent="0.25">
      <c r="A54" s="365"/>
      <c r="B54" s="368"/>
      <c r="C54" s="493" t="s">
        <v>391</v>
      </c>
      <c r="D54" s="494"/>
      <c r="E54" s="495"/>
      <c r="F54" s="186" t="e">
        <f ca="1">'Safety Criteria'!AS4</f>
        <v>#DIV/0!</v>
      </c>
      <c r="G54" s="449"/>
      <c r="H54" s="434"/>
      <c r="I54" s="434"/>
      <c r="J54" s="434"/>
      <c r="K54" s="431"/>
      <c r="L54" s="431"/>
      <c r="M54" s="352"/>
      <c r="N54" s="352"/>
      <c r="O54" s="214"/>
      <c r="P54" s="214"/>
      <c r="Q54" s="214"/>
      <c r="R54" s="214"/>
      <c r="S54" s="214"/>
      <c r="T54" s="214"/>
      <c r="U54" s="214"/>
      <c r="V54" s="214"/>
      <c r="W54" s="214"/>
      <c r="X54" s="214"/>
      <c r="Y54" s="214"/>
      <c r="Z54" s="214"/>
      <c r="AA54" s="214"/>
      <c r="AB54" s="214"/>
      <c r="AC54" s="214"/>
      <c r="AD54" s="214"/>
      <c r="AE54" s="214"/>
      <c r="AF54" s="214"/>
      <c r="AG54" s="214"/>
      <c r="AH54" s="214"/>
      <c r="AI54" s="214"/>
      <c r="AJ54" s="214"/>
      <c r="AK54" s="214"/>
      <c r="AL54" s="214"/>
      <c r="AM54" s="214"/>
      <c r="AN54" s="214"/>
      <c r="AO54" s="214"/>
      <c r="AP54" s="214"/>
      <c r="AQ54" s="214"/>
      <c r="AR54" s="214"/>
      <c r="AS54" s="214"/>
      <c r="AT54" s="214"/>
      <c r="AU54" s="214"/>
      <c r="AV54" s="214"/>
      <c r="AW54" s="214"/>
      <c r="AX54" s="214"/>
      <c r="AY54" s="214"/>
      <c r="AZ54" s="214"/>
      <c r="BA54" s="214"/>
      <c r="BB54" s="214"/>
      <c r="BC54" s="214"/>
      <c r="BD54" s="214"/>
      <c r="BE54" s="214"/>
      <c r="BF54" s="214"/>
      <c r="BG54" s="214"/>
      <c r="BH54" s="214"/>
      <c r="BI54" s="214"/>
      <c r="BJ54" s="214"/>
      <c r="BK54" s="214"/>
      <c r="BL54" s="214"/>
      <c r="BM54" s="214"/>
      <c r="BN54" s="214"/>
      <c r="BO54" s="214"/>
      <c r="BP54" s="214"/>
      <c r="BQ54" s="214"/>
      <c r="BR54" s="214"/>
    </row>
    <row r="55" spans="1:70" ht="15.75" thickBot="1" x14ac:dyDescent="0.3">
      <c r="A55" s="171"/>
      <c r="B55" s="172"/>
      <c r="C55" s="347" t="s">
        <v>428</v>
      </c>
      <c r="D55" s="348"/>
      <c r="E55" s="348"/>
      <c r="F55" s="209" t="e">
        <f ca="1">MEN_limit*F_factor</f>
        <v>#DIV/0!</v>
      </c>
      <c r="G55" s="442" t="s">
        <v>34</v>
      </c>
      <c r="H55" s="443"/>
      <c r="I55" s="443"/>
      <c r="J55" s="443"/>
      <c r="K55" s="443"/>
      <c r="L55" s="444"/>
      <c r="M55" s="352"/>
      <c r="N55" s="352"/>
      <c r="O55" s="217"/>
      <c r="P55" s="217"/>
      <c r="Q55" s="217"/>
      <c r="R55" s="217"/>
      <c r="S55" s="217"/>
      <c r="T55" s="217"/>
      <c r="U55" s="217"/>
      <c r="V55" s="214"/>
      <c r="W55" s="214"/>
      <c r="X55" s="214"/>
      <c r="Y55" s="214"/>
      <c r="Z55" s="214"/>
      <c r="AA55" s="214"/>
      <c r="AB55" s="214"/>
      <c r="AC55" s="214"/>
      <c r="AD55" s="214"/>
      <c r="AE55" s="214"/>
      <c r="AF55" s="214"/>
      <c r="AG55" s="214"/>
      <c r="AH55" s="214"/>
      <c r="AI55" s="214"/>
      <c r="AJ55" s="214"/>
      <c r="AK55" s="214"/>
      <c r="AL55" s="214"/>
      <c r="AM55" s="214"/>
      <c r="AN55" s="214"/>
      <c r="AO55" s="214"/>
      <c r="AP55" s="214"/>
      <c r="AQ55" s="214"/>
      <c r="AR55" s="214"/>
      <c r="AS55" s="214"/>
      <c r="AT55" s="214"/>
      <c r="AU55" s="214"/>
      <c r="AV55" s="214"/>
      <c r="AW55" s="214"/>
      <c r="AX55" s="214"/>
      <c r="AY55" s="214"/>
      <c r="AZ55" s="214"/>
      <c r="BA55" s="214"/>
      <c r="BB55" s="214"/>
      <c r="BC55" s="214"/>
      <c r="BD55" s="214"/>
      <c r="BE55" s="214"/>
      <c r="BF55" s="214"/>
      <c r="BG55" s="214"/>
      <c r="BH55" s="214"/>
      <c r="BI55" s="214"/>
      <c r="BJ55" s="214"/>
      <c r="BK55" s="214"/>
      <c r="BL55" s="214"/>
      <c r="BM55" s="214"/>
      <c r="BN55" s="214"/>
      <c r="BO55" s="214"/>
      <c r="BP55" s="214"/>
      <c r="BQ55" s="214"/>
      <c r="BR55" s="214"/>
    </row>
    <row r="56" spans="1:70" ht="15" x14ac:dyDescent="0.2">
      <c r="A56" s="363" t="s">
        <v>348</v>
      </c>
      <c r="B56" s="367"/>
      <c r="C56" s="468" t="s">
        <v>349</v>
      </c>
      <c r="D56" s="468"/>
      <c r="E56" s="468"/>
      <c r="F56" s="223" t="e">
        <f>IF(Ifmax_total^2*primary_EF_time&gt;8550^2,"Not Rated","Satisfactory")</f>
        <v>#DIV/0!</v>
      </c>
      <c r="G56" s="454"/>
      <c r="H56" s="445" t="s">
        <v>351</v>
      </c>
      <c r="I56" s="445"/>
      <c r="J56" s="445"/>
      <c r="K56" s="440" t="e">
        <f>IF(Ifmax_total^2*primary_EF_time&gt;4455^2,"Not Rated","Satisfactory")</f>
        <v>#DIV/0!</v>
      </c>
      <c r="L56" s="440"/>
      <c r="M56" s="352"/>
      <c r="N56" s="352"/>
      <c r="O56" s="217"/>
      <c r="P56" s="217"/>
      <c r="Q56" s="217"/>
      <c r="R56" s="217"/>
      <c r="S56" s="217"/>
      <c r="T56" s="217"/>
      <c r="U56" s="217"/>
      <c r="V56" s="214"/>
      <c r="W56" s="214"/>
      <c r="X56" s="214"/>
      <c r="Y56" s="214"/>
      <c r="Z56" s="214"/>
      <c r="AA56" s="214"/>
      <c r="AB56" s="214"/>
      <c r="AC56" s="214"/>
      <c r="AD56" s="214"/>
      <c r="AE56" s="214"/>
      <c r="AF56" s="214"/>
      <c r="AG56" s="214"/>
      <c r="AH56" s="214"/>
      <c r="AI56" s="214"/>
      <c r="AJ56" s="214"/>
      <c r="AK56" s="214"/>
      <c r="AL56" s="214"/>
      <c r="AM56" s="214"/>
      <c r="AN56" s="214"/>
      <c r="AO56" s="214"/>
      <c r="AP56" s="214"/>
      <c r="AQ56" s="214"/>
      <c r="AR56" s="214"/>
      <c r="AS56" s="214"/>
      <c r="AT56" s="214"/>
      <c r="AU56" s="214"/>
      <c r="AV56" s="214"/>
      <c r="AW56" s="214"/>
      <c r="AX56" s="214"/>
      <c r="AY56" s="214"/>
      <c r="AZ56" s="214"/>
      <c r="BA56" s="214"/>
      <c r="BB56" s="214"/>
      <c r="BC56" s="214"/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  <c r="BN56" s="214"/>
      <c r="BO56" s="214"/>
      <c r="BP56" s="214"/>
      <c r="BQ56" s="214"/>
      <c r="BR56" s="214"/>
    </row>
    <row r="57" spans="1:70" ht="15.75" thickBot="1" x14ac:dyDescent="0.25">
      <c r="A57" s="450"/>
      <c r="B57" s="451"/>
      <c r="C57" s="492" t="s">
        <v>350</v>
      </c>
      <c r="D57" s="492"/>
      <c r="E57" s="492"/>
      <c r="F57" s="224" t="e">
        <f>IF(Ifmax_total^2*primary_EF_time&gt;9520^2,"Not Rated","Satisfactory")</f>
        <v>#DIV/0!</v>
      </c>
      <c r="G57" s="455"/>
      <c r="H57" s="446"/>
      <c r="I57" s="446"/>
      <c r="J57" s="446"/>
      <c r="K57" s="441"/>
      <c r="L57" s="441"/>
      <c r="M57" s="352"/>
      <c r="N57" s="352"/>
      <c r="O57" s="217"/>
      <c r="P57" s="217"/>
      <c r="Q57" s="217"/>
      <c r="R57" s="217"/>
      <c r="S57" s="217"/>
      <c r="T57" s="217"/>
      <c r="U57" s="217"/>
      <c r="V57" s="214"/>
      <c r="W57" s="214"/>
      <c r="X57" s="214"/>
      <c r="Y57" s="214"/>
      <c r="Z57" s="214"/>
      <c r="AA57" s="214"/>
      <c r="AB57" s="214"/>
      <c r="AC57" s="214"/>
      <c r="AD57" s="214"/>
      <c r="AE57" s="214"/>
      <c r="AF57" s="214"/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214"/>
      <c r="AR57" s="214"/>
      <c r="AS57" s="214"/>
      <c r="AT57" s="214"/>
      <c r="AU57" s="214"/>
      <c r="AV57" s="214"/>
      <c r="AW57" s="214"/>
      <c r="AX57" s="214"/>
      <c r="AY57" s="214"/>
      <c r="AZ57" s="214"/>
      <c r="BA57" s="214"/>
      <c r="BB57" s="214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  <c r="BN57" s="214"/>
      <c r="BO57" s="214"/>
      <c r="BP57" s="214"/>
      <c r="BQ57" s="214"/>
      <c r="BR57" s="214"/>
    </row>
    <row r="58" spans="1:70" ht="15" customHeight="1" thickBot="1" x14ac:dyDescent="0.3">
      <c r="A58" s="365" t="s">
        <v>115</v>
      </c>
      <c r="B58" s="368"/>
      <c r="C58" s="460" t="s">
        <v>486</v>
      </c>
      <c r="D58" s="461"/>
      <c r="E58" s="461"/>
      <c r="F58" s="210" t="e">
        <f>IMABS(EPR)</f>
        <v>#DIV/0!</v>
      </c>
      <c r="G58" s="257"/>
      <c r="H58" s="173"/>
      <c r="I58" s="173"/>
      <c r="J58" s="173"/>
      <c r="K58" s="174"/>
      <c r="L58" s="175"/>
      <c r="M58" s="352"/>
      <c r="N58" s="352"/>
      <c r="O58" s="214"/>
      <c r="P58" s="214"/>
      <c r="Q58" s="214"/>
      <c r="R58" s="214"/>
      <c r="S58" s="214"/>
      <c r="T58" s="214"/>
      <c r="U58" s="214"/>
      <c r="V58" s="214"/>
      <c r="W58" s="214"/>
      <c r="X58" s="214"/>
      <c r="Y58" s="214"/>
      <c r="Z58" s="214"/>
      <c r="AA58" s="214"/>
      <c r="AB58" s="214"/>
      <c r="AC58" s="214"/>
      <c r="AD58" s="214"/>
      <c r="AE58" s="214"/>
      <c r="AF58" s="214"/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214"/>
      <c r="AR58" s="214"/>
      <c r="AS58" s="214"/>
      <c r="AT58" s="214"/>
      <c r="AU58" s="214"/>
      <c r="AV58" s="214"/>
      <c r="AW58" s="214"/>
      <c r="AX58" s="214"/>
      <c r="AY58" s="214"/>
      <c r="AZ58" s="214"/>
      <c r="BA58" s="214"/>
      <c r="BB58" s="214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  <c r="BN58" s="214"/>
      <c r="BO58" s="214"/>
      <c r="BP58" s="214"/>
      <c r="BQ58" s="214"/>
      <c r="BR58" s="214"/>
    </row>
    <row r="59" spans="1:70" ht="15" customHeight="1" x14ac:dyDescent="0.25">
      <c r="A59" s="365"/>
      <c r="B59" s="368"/>
      <c r="C59" s="464" t="s">
        <v>116</v>
      </c>
      <c r="D59" s="465"/>
      <c r="E59" s="465"/>
      <c r="F59" s="211" t="e">
        <f ca="1">Distance_to_allowable(430)</f>
        <v>#VALUE!</v>
      </c>
      <c r="G59" s="478"/>
      <c r="H59" s="423" t="s">
        <v>352</v>
      </c>
      <c r="I59" s="424"/>
      <c r="J59" s="425"/>
      <c r="K59" s="419" t="e">
        <f ca="1">EPR - EPR_at_x("Yes",1)</f>
        <v>#DIV/0!</v>
      </c>
      <c r="L59" s="420"/>
      <c r="M59" s="352"/>
      <c r="N59" s="352"/>
      <c r="O59" s="214"/>
      <c r="P59" s="214"/>
      <c r="Q59" s="214"/>
      <c r="R59" s="214"/>
      <c r="S59" s="214"/>
      <c r="T59" s="214"/>
      <c r="U59" s="214"/>
      <c r="V59" s="214"/>
      <c r="W59" s="214"/>
      <c r="X59" s="214"/>
      <c r="Y59" s="214"/>
      <c r="Z59" s="214"/>
      <c r="AA59" s="214"/>
      <c r="AB59" s="214"/>
      <c r="AC59" s="214"/>
      <c r="AD59" s="214"/>
      <c r="AE59" s="214"/>
      <c r="AF59" s="214"/>
      <c r="AG59" s="214"/>
      <c r="AH59" s="214"/>
      <c r="AI59" s="214"/>
      <c r="AJ59" s="214"/>
      <c r="AK59" s="214"/>
      <c r="AL59" s="214"/>
      <c r="AM59" s="214"/>
      <c r="AN59" s="214"/>
      <c r="AO59" s="214"/>
      <c r="AP59" s="214"/>
      <c r="AQ59" s="214"/>
      <c r="AR59" s="214"/>
      <c r="AS59" s="214"/>
      <c r="AT59" s="214"/>
      <c r="AU59" s="214"/>
      <c r="AV59" s="214"/>
      <c r="AW59" s="214"/>
      <c r="AX59" s="214"/>
      <c r="AY59" s="214"/>
      <c r="AZ59" s="214"/>
      <c r="BA59" s="214"/>
      <c r="BB59" s="214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  <c r="BN59" s="214"/>
      <c r="BO59" s="214"/>
      <c r="BP59" s="214"/>
      <c r="BQ59" s="214"/>
      <c r="BR59" s="214"/>
    </row>
    <row r="60" spans="1:70" ht="15" customHeight="1" x14ac:dyDescent="0.25">
      <c r="A60" s="365"/>
      <c r="B60" s="368"/>
      <c r="C60" s="462" t="s">
        <v>337</v>
      </c>
      <c r="D60" s="463"/>
      <c r="E60" s="463"/>
      <c r="F60" s="212" t="e">
        <f ca="1">Distance_to_allowable(MEN_limit)</f>
        <v>#VALUE!</v>
      </c>
      <c r="G60" s="478"/>
      <c r="H60" s="416" t="s">
        <v>119</v>
      </c>
      <c r="I60" s="417"/>
      <c r="J60" s="418"/>
      <c r="K60" s="511" t="e">
        <f ca="1">MAX('Fault current calcs'!C33:C71)</f>
        <v>#VALUE!</v>
      </c>
      <c r="L60" s="512"/>
      <c r="M60" s="352"/>
      <c r="N60" s="352"/>
      <c r="O60" s="214"/>
      <c r="P60" s="214"/>
      <c r="Q60" s="214"/>
      <c r="R60" s="214"/>
      <c r="S60" s="214"/>
      <c r="T60" s="214"/>
      <c r="U60" s="214"/>
      <c r="V60" s="214"/>
      <c r="W60" s="214"/>
      <c r="X60" s="214"/>
      <c r="Y60" s="214"/>
      <c r="Z60" s="214"/>
      <c r="AA60" s="214"/>
      <c r="AB60" s="214"/>
      <c r="AC60" s="214"/>
      <c r="AD60" s="214"/>
      <c r="AE60" s="214"/>
      <c r="AF60" s="214"/>
      <c r="AG60" s="214"/>
      <c r="AH60" s="214"/>
      <c r="AI60" s="214"/>
      <c r="AJ60" s="214"/>
      <c r="AK60" s="214"/>
      <c r="AL60" s="214"/>
      <c r="AM60" s="214"/>
      <c r="AN60" s="214"/>
      <c r="AO60" s="214"/>
      <c r="AP60" s="214"/>
      <c r="AQ60" s="214"/>
      <c r="AR60" s="214"/>
      <c r="AS60" s="214"/>
      <c r="AT60" s="214"/>
      <c r="AU60" s="214"/>
      <c r="AV60" s="214"/>
      <c r="AW60" s="214"/>
      <c r="AX60" s="214"/>
      <c r="AY60" s="214"/>
      <c r="AZ60" s="214"/>
      <c r="BA60" s="214"/>
      <c r="BB60" s="214"/>
      <c r="BC60" s="214"/>
      <c r="BD60" s="214"/>
      <c r="BE60" s="214"/>
      <c r="BF60" s="214"/>
      <c r="BG60" s="214"/>
      <c r="BH60" s="214"/>
      <c r="BI60" s="214"/>
      <c r="BJ60" s="214"/>
      <c r="BK60" s="214"/>
      <c r="BL60" s="214"/>
      <c r="BM60" s="214"/>
      <c r="BN60" s="214"/>
      <c r="BO60" s="214"/>
      <c r="BP60" s="214"/>
      <c r="BQ60" s="214"/>
      <c r="BR60" s="214"/>
    </row>
    <row r="61" spans="1:70" ht="15" customHeight="1" x14ac:dyDescent="0.25">
      <c r="A61" s="365"/>
      <c r="B61" s="368"/>
      <c r="C61" s="462" t="s">
        <v>376</v>
      </c>
      <c r="D61" s="463"/>
      <c r="E61" s="463"/>
      <c r="F61" s="183" t="e">
        <f ca="1">Distance_to_allowable(BY_limit)</f>
        <v>#VALUE!</v>
      </c>
      <c r="G61" s="478"/>
      <c r="H61" s="475"/>
      <c r="I61" s="476"/>
      <c r="J61" s="476"/>
      <c r="K61" s="476"/>
      <c r="L61" s="477"/>
      <c r="M61" s="352"/>
      <c r="N61" s="352"/>
      <c r="O61" s="214"/>
      <c r="P61" s="214"/>
      <c r="Q61" s="214"/>
      <c r="R61" s="214"/>
      <c r="S61" s="214"/>
      <c r="T61" s="214"/>
      <c r="U61" s="214"/>
      <c r="V61" s="214"/>
      <c r="W61" s="214"/>
      <c r="X61" s="214"/>
      <c r="Y61" s="214"/>
      <c r="Z61" s="214"/>
      <c r="AA61" s="214"/>
      <c r="AB61" s="214"/>
      <c r="AC61" s="214"/>
      <c r="AD61" s="214"/>
      <c r="AE61" s="214"/>
      <c r="AF61" s="214"/>
      <c r="AG61" s="214"/>
      <c r="AH61" s="214"/>
      <c r="AI61" s="214"/>
      <c r="AJ61" s="214"/>
      <c r="AK61" s="214"/>
      <c r="AL61" s="214"/>
      <c r="AM61" s="214"/>
      <c r="AN61" s="214"/>
      <c r="AO61" s="214"/>
      <c r="AP61" s="214"/>
      <c r="AQ61" s="214"/>
      <c r="AR61" s="214"/>
      <c r="AS61" s="214"/>
      <c r="AT61" s="214"/>
      <c r="AU61" s="214"/>
      <c r="AV61" s="214"/>
      <c r="AW61" s="214"/>
      <c r="AX61" s="214"/>
      <c r="AY61" s="214"/>
      <c r="AZ61" s="214"/>
      <c r="BA61" s="214"/>
      <c r="BB61" s="214"/>
      <c r="BC61" s="214"/>
      <c r="BD61" s="214"/>
      <c r="BE61" s="214"/>
      <c r="BF61" s="214"/>
      <c r="BG61" s="214"/>
      <c r="BH61" s="214"/>
      <c r="BI61" s="214"/>
      <c r="BJ61" s="214"/>
      <c r="BK61" s="214"/>
      <c r="BL61" s="214"/>
      <c r="BM61" s="214"/>
      <c r="BN61" s="214"/>
      <c r="BO61" s="214"/>
      <c r="BP61" s="214"/>
      <c r="BQ61" s="214"/>
      <c r="BR61" s="214"/>
    </row>
    <row r="62" spans="1:70" ht="15" customHeight="1" thickBot="1" x14ac:dyDescent="0.3">
      <c r="A62" s="365"/>
      <c r="B62" s="368"/>
      <c r="C62" s="466" t="s">
        <v>375</v>
      </c>
      <c r="D62" s="467"/>
      <c r="E62" s="467"/>
      <c r="F62" s="213" t="e">
        <f ca="1">Distance_to_allowable(F51)</f>
        <v>#VALUE!</v>
      </c>
      <c r="G62" s="479"/>
      <c r="H62" s="426" t="s">
        <v>33</v>
      </c>
      <c r="I62" s="427"/>
      <c r="J62" s="428"/>
      <c r="K62" s="509"/>
      <c r="L62" s="510"/>
      <c r="M62" s="352"/>
      <c r="N62" s="352"/>
      <c r="O62" s="214"/>
      <c r="P62" s="214"/>
      <c r="Q62" s="214"/>
      <c r="R62" s="214"/>
      <c r="S62" s="214"/>
      <c r="T62" s="214"/>
      <c r="U62" s="214"/>
      <c r="V62" s="214"/>
      <c r="W62" s="214"/>
      <c r="X62" s="214"/>
      <c r="Y62" s="214"/>
      <c r="Z62" s="214"/>
      <c r="AA62" s="214"/>
      <c r="AB62" s="214"/>
      <c r="AC62" s="214"/>
      <c r="AD62" s="214"/>
      <c r="AE62" s="214"/>
      <c r="AF62" s="214"/>
      <c r="AG62" s="214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4"/>
      <c r="AT62" s="214"/>
      <c r="AU62" s="214"/>
      <c r="AV62" s="214"/>
      <c r="AW62" s="214"/>
      <c r="AX62" s="214"/>
      <c r="AY62" s="214"/>
      <c r="AZ62" s="214"/>
      <c r="BA62" s="214"/>
      <c r="BB62" s="214"/>
      <c r="BC62" s="214"/>
      <c r="BD62" s="214"/>
      <c r="BE62" s="214"/>
      <c r="BF62" s="214"/>
      <c r="BG62" s="214"/>
      <c r="BH62" s="214"/>
      <c r="BI62" s="214"/>
      <c r="BJ62" s="214"/>
      <c r="BK62" s="214"/>
      <c r="BL62" s="214"/>
      <c r="BM62" s="214"/>
      <c r="BN62" s="214"/>
      <c r="BO62" s="214"/>
      <c r="BP62" s="214"/>
      <c r="BQ62" s="214"/>
      <c r="BR62" s="214"/>
    </row>
    <row r="63" spans="1:70" ht="15" customHeight="1" thickBot="1" x14ac:dyDescent="0.3">
      <c r="A63" s="450"/>
      <c r="B63" s="451"/>
      <c r="C63" s="456" t="s">
        <v>365</v>
      </c>
      <c r="D63" s="457"/>
      <c r="E63" s="458"/>
      <c r="F63" s="222" t="e">
        <f ca="1">IF(N_customers&gt;3,MAX(L,L_LV,4),MAX(Distance_to_allowable(MEN_limit),4,L,L_LV))</f>
        <v>#VALUE!</v>
      </c>
      <c r="G63" s="176"/>
      <c r="H63" s="599" t="s">
        <v>60</v>
      </c>
      <c r="I63" s="600"/>
      <c r="J63" s="601"/>
      <c r="K63" s="602"/>
      <c r="L63" s="603"/>
      <c r="M63" s="353"/>
      <c r="N63" s="353"/>
      <c r="O63" s="214"/>
      <c r="P63" s="214"/>
      <c r="Q63" s="214"/>
      <c r="R63" s="214"/>
      <c r="S63" s="214"/>
      <c r="T63" s="214"/>
      <c r="U63" s="214"/>
      <c r="V63" s="214"/>
      <c r="W63" s="214"/>
      <c r="X63" s="214"/>
      <c r="Y63" s="214"/>
      <c r="Z63" s="214"/>
      <c r="AA63" s="214"/>
      <c r="AB63" s="214"/>
      <c r="AC63" s="214"/>
      <c r="AD63" s="214"/>
      <c r="AE63" s="214"/>
      <c r="AF63" s="214"/>
      <c r="AG63" s="214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4"/>
      <c r="AT63" s="214"/>
      <c r="AU63" s="214"/>
      <c r="AV63" s="214"/>
      <c r="AW63" s="214"/>
      <c r="AX63" s="214"/>
      <c r="AY63" s="214"/>
      <c r="AZ63" s="214"/>
      <c r="BA63" s="214"/>
      <c r="BB63" s="214"/>
      <c r="BC63" s="214"/>
      <c r="BD63" s="214"/>
      <c r="BE63" s="214"/>
      <c r="BF63" s="214"/>
      <c r="BG63" s="214"/>
      <c r="BH63" s="214"/>
      <c r="BI63" s="214"/>
      <c r="BJ63" s="214"/>
      <c r="BK63" s="214"/>
      <c r="BL63" s="214"/>
      <c r="BM63" s="214"/>
      <c r="BN63" s="214"/>
      <c r="BO63" s="214"/>
      <c r="BP63" s="214"/>
      <c r="BQ63" s="214"/>
      <c r="BR63" s="214"/>
    </row>
    <row r="64" spans="1:70" s="182" customFormat="1" ht="12.75" customHeight="1" x14ac:dyDescent="0.2">
      <c r="A64" s="363" t="s">
        <v>398</v>
      </c>
      <c r="B64" s="367"/>
      <c r="C64" s="571"/>
      <c r="D64" s="572"/>
      <c r="E64" s="572"/>
      <c r="F64" s="572"/>
      <c r="G64" s="572"/>
      <c r="H64" s="572"/>
      <c r="I64" s="572"/>
      <c r="J64" s="572"/>
      <c r="K64" s="572"/>
      <c r="L64" s="572"/>
      <c r="M64" s="572"/>
      <c r="N64" s="573"/>
      <c r="O64" s="218"/>
      <c r="P64" s="218"/>
      <c r="Q64" s="218"/>
      <c r="R64" s="218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4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4"/>
      <c r="AT64" s="214"/>
      <c r="AU64" s="214"/>
      <c r="AV64" s="214"/>
      <c r="AW64" s="214"/>
      <c r="AX64" s="214"/>
      <c r="AY64" s="214"/>
      <c r="AZ64" s="214"/>
      <c r="BA64" s="214"/>
      <c r="BB64" s="214"/>
      <c r="BC64" s="214"/>
      <c r="BD64" s="214"/>
      <c r="BE64" s="214"/>
      <c r="BF64" s="214"/>
      <c r="BG64" s="214"/>
      <c r="BH64" s="214"/>
      <c r="BI64" s="214"/>
      <c r="BJ64" s="214"/>
      <c r="BK64" s="214"/>
      <c r="BL64" s="214"/>
      <c r="BM64" s="214"/>
      <c r="BN64" s="214"/>
      <c r="BO64" s="214"/>
      <c r="BP64" s="214"/>
      <c r="BQ64" s="214"/>
      <c r="BR64" s="214"/>
    </row>
    <row r="65" spans="1:70" s="182" customFormat="1" ht="12.75" customHeight="1" x14ac:dyDescent="0.2">
      <c r="A65" s="365"/>
      <c r="B65" s="368"/>
      <c r="C65" s="574"/>
      <c r="D65" s="575"/>
      <c r="E65" s="575"/>
      <c r="F65" s="575"/>
      <c r="G65" s="575"/>
      <c r="H65" s="575"/>
      <c r="I65" s="575"/>
      <c r="J65" s="575"/>
      <c r="K65" s="575"/>
      <c r="L65" s="575"/>
      <c r="M65" s="575"/>
      <c r="N65" s="576"/>
      <c r="O65" s="218"/>
      <c r="P65" s="218"/>
      <c r="Q65" s="218"/>
      <c r="R65" s="218"/>
      <c r="S65" s="214"/>
      <c r="T65" s="214"/>
      <c r="U65" s="214"/>
      <c r="V65" s="214"/>
      <c r="W65" s="214"/>
      <c r="X65" s="214"/>
      <c r="Y65" s="214"/>
      <c r="Z65" s="214"/>
      <c r="AA65" s="214"/>
      <c r="AB65" s="214"/>
      <c r="AC65" s="214"/>
      <c r="AD65" s="214"/>
      <c r="AE65" s="214"/>
      <c r="AF65" s="214"/>
      <c r="AG65" s="214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4"/>
      <c r="AT65" s="214"/>
      <c r="AU65" s="214"/>
      <c r="AV65" s="214"/>
      <c r="AW65" s="214"/>
      <c r="AX65" s="214"/>
      <c r="AY65" s="214"/>
      <c r="AZ65" s="214"/>
      <c r="BA65" s="214"/>
      <c r="BB65" s="214"/>
      <c r="BC65" s="214"/>
      <c r="BD65" s="214"/>
      <c r="BE65" s="214"/>
      <c r="BF65" s="214"/>
      <c r="BG65" s="214"/>
      <c r="BH65" s="214"/>
      <c r="BI65" s="214"/>
      <c r="BJ65" s="214"/>
      <c r="BK65" s="214"/>
      <c r="BL65" s="214"/>
      <c r="BM65" s="214"/>
      <c r="BN65" s="214"/>
      <c r="BO65" s="214"/>
      <c r="BP65" s="214"/>
      <c r="BQ65" s="214"/>
      <c r="BR65" s="214"/>
    </row>
    <row r="66" spans="1:70" s="182" customFormat="1" ht="12.75" customHeight="1" thickBot="1" x14ac:dyDescent="0.25">
      <c r="A66" s="450"/>
      <c r="B66" s="451"/>
      <c r="C66" s="577"/>
      <c r="D66" s="578"/>
      <c r="E66" s="578"/>
      <c r="F66" s="578"/>
      <c r="G66" s="578"/>
      <c r="H66" s="578"/>
      <c r="I66" s="578"/>
      <c r="J66" s="578"/>
      <c r="K66" s="578"/>
      <c r="L66" s="578"/>
      <c r="M66" s="578"/>
      <c r="N66" s="579"/>
      <c r="O66" s="218"/>
      <c r="P66" s="218"/>
      <c r="Q66" s="218"/>
      <c r="R66" s="218"/>
      <c r="S66" s="214"/>
      <c r="T66" s="214"/>
      <c r="U66" s="214"/>
      <c r="V66" s="214"/>
      <c r="W66" s="214"/>
      <c r="X66" s="214"/>
      <c r="Y66" s="214"/>
      <c r="Z66" s="214"/>
      <c r="AA66" s="214"/>
      <c r="AB66" s="214"/>
      <c r="AC66" s="214"/>
      <c r="AD66" s="214"/>
      <c r="AE66" s="214"/>
      <c r="AF66" s="214"/>
      <c r="AG66" s="214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4"/>
      <c r="AT66" s="214"/>
      <c r="AU66" s="214"/>
      <c r="AV66" s="214"/>
      <c r="AW66" s="214"/>
      <c r="AX66" s="214"/>
      <c r="AY66" s="214"/>
      <c r="AZ66" s="214"/>
      <c r="BA66" s="214"/>
      <c r="BB66" s="214"/>
      <c r="BC66" s="214"/>
      <c r="BD66" s="214"/>
      <c r="BE66" s="214"/>
      <c r="BF66" s="214"/>
      <c r="BG66" s="214"/>
      <c r="BH66" s="214"/>
      <c r="BI66" s="214"/>
      <c r="BJ66" s="214"/>
      <c r="BK66" s="214"/>
      <c r="BL66" s="214"/>
      <c r="BM66" s="214"/>
      <c r="BN66" s="214"/>
      <c r="BO66" s="214"/>
      <c r="BP66" s="214"/>
      <c r="BQ66" s="214"/>
      <c r="BR66" s="214"/>
    </row>
    <row r="67" spans="1:70" s="182" customFormat="1" ht="13.9" customHeight="1" x14ac:dyDescent="0.2">
      <c r="A67" s="260"/>
      <c r="B67" s="260"/>
      <c r="C67" s="260"/>
      <c r="D67" s="260"/>
      <c r="E67" s="260"/>
      <c r="F67" s="260"/>
      <c r="G67" s="260"/>
      <c r="H67" s="215"/>
      <c r="I67" s="215"/>
      <c r="J67" s="260"/>
      <c r="K67" s="260"/>
      <c r="L67" s="260"/>
      <c r="M67" s="260"/>
      <c r="N67" s="215"/>
      <c r="O67" s="215"/>
      <c r="P67" s="215"/>
      <c r="Q67" s="215"/>
      <c r="R67" s="215"/>
      <c r="S67" s="215"/>
      <c r="T67" s="215"/>
      <c r="U67" s="215"/>
      <c r="V67" s="214"/>
      <c r="W67" s="214"/>
      <c r="X67" s="214"/>
      <c r="Y67" s="214"/>
      <c r="Z67" s="214"/>
      <c r="AA67" s="214"/>
      <c r="AB67" s="214"/>
      <c r="AC67" s="214"/>
      <c r="AD67" s="214"/>
      <c r="AE67" s="214"/>
      <c r="AF67" s="214"/>
      <c r="AG67" s="214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4"/>
      <c r="AT67" s="214"/>
      <c r="AU67" s="214"/>
      <c r="AV67" s="214"/>
      <c r="AW67" s="214"/>
      <c r="AX67" s="214"/>
      <c r="AY67" s="214"/>
      <c r="AZ67" s="214"/>
      <c r="BA67" s="214"/>
      <c r="BB67" s="214"/>
      <c r="BC67" s="214"/>
      <c r="BD67" s="214"/>
      <c r="BE67" s="214"/>
      <c r="BF67" s="214"/>
      <c r="BG67" s="214"/>
      <c r="BH67" s="214"/>
      <c r="BI67" s="214"/>
      <c r="BJ67" s="214"/>
      <c r="BK67" s="214"/>
      <c r="BL67" s="214"/>
      <c r="BM67" s="214"/>
      <c r="BN67" s="214"/>
      <c r="BO67" s="214"/>
      <c r="BP67" s="214"/>
      <c r="BQ67" s="214"/>
      <c r="BR67" s="214"/>
    </row>
    <row r="68" spans="1:70" s="182" customFormat="1" x14ac:dyDescent="0.2">
      <c r="A68" s="219"/>
      <c r="B68" s="219"/>
      <c r="C68" s="219"/>
      <c r="D68" s="219"/>
      <c r="E68" s="219"/>
      <c r="F68" s="219"/>
      <c r="G68" s="219"/>
      <c r="H68" s="218"/>
      <c r="I68" s="218"/>
      <c r="J68" s="219"/>
      <c r="K68" s="219"/>
      <c r="L68" s="219"/>
      <c r="M68" s="219"/>
      <c r="N68" s="218"/>
      <c r="O68" s="218"/>
      <c r="P68" s="218"/>
      <c r="Q68" s="218"/>
      <c r="R68" s="218"/>
      <c r="S68" s="218"/>
      <c r="T68" s="218"/>
      <c r="U68" s="215"/>
      <c r="V68" s="214"/>
      <c r="W68" s="214"/>
      <c r="X68" s="214"/>
      <c r="Y68" s="214"/>
      <c r="Z68" s="214"/>
      <c r="AA68" s="214"/>
      <c r="AB68" s="214"/>
      <c r="AC68" s="214"/>
      <c r="AD68" s="214"/>
      <c r="AE68" s="214"/>
      <c r="AF68" s="214"/>
      <c r="AG68" s="214"/>
      <c r="AH68" s="214"/>
      <c r="AI68" s="214"/>
      <c r="AJ68" s="214"/>
      <c r="AK68" s="214"/>
      <c r="AL68" s="214"/>
      <c r="AM68" s="214"/>
      <c r="AN68" s="214"/>
      <c r="AO68" s="214"/>
      <c r="AP68" s="214"/>
      <c r="AQ68" s="214"/>
      <c r="AR68" s="214"/>
      <c r="AS68" s="214"/>
      <c r="AT68" s="214"/>
      <c r="AU68" s="214"/>
      <c r="AV68" s="214"/>
      <c r="AW68" s="214"/>
      <c r="AX68" s="214"/>
      <c r="AY68" s="214"/>
      <c r="AZ68" s="214"/>
      <c r="BA68" s="214"/>
      <c r="BB68" s="214"/>
      <c r="BC68" s="214"/>
      <c r="BD68" s="214"/>
      <c r="BE68" s="214"/>
      <c r="BF68" s="214"/>
      <c r="BG68" s="214"/>
      <c r="BH68" s="214"/>
      <c r="BI68" s="214"/>
      <c r="BJ68" s="214"/>
      <c r="BK68" s="214"/>
      <c r="BL68" s="214"/>
      <c r="BM68" s="214"/>
      <c r="BN68" s="214"/>
      <c r="BO68" s="214"/>
      <c r="BP68" s="214"/>
      <c r="BQ68" s="214"/>
      <c r="BR68" s="214"/>
    </row>
    <row r="69" spans="1:70" s="182" customFormat="1" x14ac:dyDescent="0.2">
      <c r="A69" s="322"/>
      <c r="B69" s="322"/>
      <c r="C69" s="322"/>
      <c r="D69" s="322"/>
      <c r="E69" s="322"/>
      <c r="F69" s="322"/>
      <c r="G69" s="322"/>
      <c r="H69" s="218"/>
      <c r="I69" s="218"/>
      <c r="J69" s="219"/>
      <c r="K69" s="219"/>
      <c r="L69" s="219"/>
      <c r="M69" s="219"/>
      <c r="N69" s="218"/>
      <c r="O69" s="218"/>
      <c r="P69" s="218"/>
      <c r="Q69" s="218"/>
      <c r="R69" s="218"/>
      <c r="S69" s="218"/>
      <c r="T69" s="218"/>
      <c r="U69" s="215"/>
      <c r="V69" s="214"/>
      <c r="W69" s="214"/>
      <c r="X69" s="214"/>
      <c r="Y69" s="214"/>
      <c r="Z69" s="214"/>
      <c r="AA69" s="214"/>
      <c r="AB69" s="214"/>
      <c r="AC69" s="214"/>
      <c r="AD69" s="214"/>
      <c r="AE69" s="214"/>
      <c r="AF69" s="214"/>
      <c r="AG69" s="214"/>
      <c r="AH69" s="214"/>
      <c r="AI69" s="214"/>
      <c r="AJ69" s="214"/>
      <c r="AK69" s="214"/>
      <c r="AL69" s="214"/>
      <c r="AM69" s="214"/>
      <c r="AN69" s="214"/>
      <c r="AO69" s="214"/>
      <c r="AP69" s="214"/>
      <c r="AQ69" s="214"/>
      <c r="AR69" s="214"/>
      <c r="AS69" s="214"/>
      <c r="AT69" s="214"/>
      <c r="AU69" s="214"/>
      <c r="AV69" s="214"/>
      <c r="AW69" s="214"/>
      <c r="AX69" s="214"/>
      <c r="AY69" s="214"/>
      <c r="AZ69" s="214"/>
      <c r="BA69" s="214"/>
      <c r="BB69" s="214"/>
      <c r="BC69" s="214"/>
      <c r="BD69" s="214"/>
      <c r="BE69" s="214"/>
      <c r="BF69" s="214"/>
      <c r="BG69" s="214"/>
      <c r="BH69" s="214"/>
      <c r="BI69" s="214"/>
      <c r="BJ69" s="214"/>
      <c r="BK69" s="214"/>
      <c r="BL69" s="214"/>
      <c r="BM69" s="214"/>
      <c r="BN69" s="214"/>
      <c r="BO69" s="214"/>
      <c r="BP69" s="214"/>
      <c r="BQ69" s="214"/>
      <c r="BR69" s="214"/>
    </row>
    <row r="70" spans="1:70" s="182" customFormat="1" x14ac:dyDescent="0.2">
      <c r="A70" s="219"/>
      <c r="B70" s="219"/>
      <c r="C70" s="219"/>
      <c r="D70" s="219"/>
      <c r="E70" s="219"/>
      <c r="F70" s="218" t="s">
        <v>382</v>
      </c>
      <c r="G70" s="218" t="s">
        <v>383</v>
      </c>
      <c r="H70" s="218"/>
      <c r="I70" s="218"/>
      <c r="J70" s="219"/>
      <c r="K70" s="219"/>
      <c r="L70" s="218" t="s">
        <v>395</v>
      </c>
      <c r="M70" s="218"/>
      <c r="N70" s="218"/>
      <c r="O70" s="218"/>
      <c r="P70" s="218"/>
      <c r="Q70" s="218"/>
      <c r="R70" s="218"/>
      <c r="S70" s="218"/>
      <c r="T70" s="218"/>
      <c r="U70" s="215"/>
      <c r="V70" s="214"/>
      <c r="W70" s="214"/>
      <c r="X70" s="214"/>
      <c r="Y70" s="214"/>
      <c r="Z70" s="214"/>
      <c r="AA70" s="214"/>
      <c r="AB70" s="214"/>
      <c r="AC70" s="214"/>
      <c r="AD70" s="214"/>
      <c r="AE70" s="214"/>
      <c r="AF70" s="214"/>
      <c r="AG70" s="214"/>
      <c r="AH70" s="214"/>
      <c r="AI70" s="214"/>
      <c r="AJ70" s="214"/>
      <c r="AK70" s="214"/>
      <c r="AL70" s="214"/>
      <c r="AM70" s="214"/>
      <c r="AN70" s="214"/>
      <c r="AO70" s="214"/>
      <c r="AP70" s="214"/>
      <c r="AQ70" s="214"/>
      <c r="AR70" s="214"/>
      <c r="AS70" s="214"/>
      <c r="AT70" s="214"/>
      <c r="AU70" s="214"/>
      <c r="AV70" s="214"/>
      <c r="AW70" s="214"/>
      <c r="AX70" s="214"/>
      <c r="AY70" s="214"/>
      <c r="AZ70" s="214"/>
      <c r="BA70" s="214"/>
      <c r="BB70" s="214"/>
      <c r="BC70" s="214"/>
      <c r="BD70" s="214"/>
      <c r="BE70" s="214"/>
      <c r="BF70" s="214"/>
      <c r="BG70" s="214"/>
      <c r="BH70" s="214"/>
      <c r="BI70" s="214"/>
      <c r="BJ70" s="214"/>
      <c r="BK70" s="214"/>
      <c r="BL70" s="214"/>
      <c r="BM70" s="214"/>
      <c r="BN70" s="214"/>
      <c r="BO70" s="214"/>
      <c r="BP70" s="214"/>
      <c r="BQ70" s="214"/>
      <c r="BR70" s="214"/>
    </row>
    <row r="71" spans="1:70" s="182" customFormat="1" x14ac:dyDescent="0.2">
      <c r="A71" s="322"/>
      <c r="B71" s="322"/>
      <c r="C71" s="322"/>
      <c r="D71" s="322"/>
      <c r="E71" s="323"/>
      <c r="F71" s="322" t="b">
        <f>NOT(ISBLANK(location))</f>
        <v>0</v>
      </c>
      <c r="G71" s="322" t="b">
        <f>NOT(ISBLANK(location))</f>
        <v>0</v>
      </c>
      <c r="H71" s="218" t="s">
        <v>0</v>
      </c>
      <c r="I71" s="218"/>
      <c r="J71" s="219"/>
      <c r="K71" s="219"/>
      <c r="L71" s="322" t="b">
        <f>NOT(ISBLANK(location))</f>
        <v>0</v>
      </c>
      <c r="M71" s="218" t="s">
        <v>0</v>
      </c>
      <c r="N71" s="218"/>
      <c r="O71" s="218"/>
      <c r="P71" s="218"/>
      <c r="Q71" s="218"/>
      <c r="R71" s="218"/>
      <c r="S71" s="218"/>
      <c r="T71" s="218"/>
      <c r="U71" s="215"/>
      <c r="V71" s="214"/>
      <c r="W71" s="214"/>
      <c r="X71" s="214"/>
      <c r="Y71" s="214"/>
      <c r="Z71" s="214"/>
      <c r="AA71" s="214"/>
      <c r="AB71" s="214"/>
      <c r="AC71" s="214"/>
      <c r="AD71" s="214"/>
      <c r="AE71" s="214"/>
      <c r="AF71" s="214"/>
      <c r="AG71" s="214"/>
      <c r="AH71" s="214"/>
      <c r="AI71" s="214"/>
      <c r="AJ71" s="214"/>
      <c r="AK71" s="214"/>
      <c r="AL71" s="214"/>
      <c r="AM71" s="214"/>
      <c r="AN71" s="214"/>
      <c r="AO71" s="214"/>
      <c r="AP71" s="214"/>
      <c r="AQ71" s="214"/>
      <c r="AR71" s="214"/>
      <c r="AS71" s="214"/>
      <c r="AT71" s="214"/>
      <c r="AU71" s="214"/>
      <c r="AV71" s="214"/>
      <c r="AW71" s="214"/>
      <c r="AX71" s="214"/>
      <c r="AY71" s="214"/>
      <c r="AZ71" s="214"/>
      <c r="BA71" s="214"/>
      <c r="BB71" s="214"/>
      <c r="BC71" s="214"/>
      <c r="BD71" s="214"/>
      <c r="BE71" s="214"/>
      <c r="BF71" s="214"/>
      <c r="BG71" s="214"/>
      <c r="BH71" s="214"/>
      <c r="BI71" s="214"/>
      <c r="BJ71" s="214"/>
      <c r="BK71" s="214"/>
      <c r="BL71" s="214"/>
      <c r="BM71" s="214"/>
      <c r="BN71" s="214"/>
      <c r="BO71" s="214"/>
      <c r="BP71" s="214"/>
      <c r="BQ71" s="214"/>
      <c r="BR71" s="214"/>
    </row>
    <row r="72" spans="1:70" s="182" customFormat="1" x14ac:dyDescent="0.2">
      <c r="A72" s="219"/>
      <c r="B72" s="219"/>
      <c r="C72" s="219"/>
      <c r="D72" s="219"/>
      <c r="E72" s="220"/>
      <c r="F72" s="322" t="b">
        <f>NOT(ISBLANK(prj_num))</f>
        <v>0</v>
      </c>
      <c r="G72" s="322" t="b">
        <f>NOT(ISBLANK(prj_num))</f>
        <v>0</v>
      </c>
      <c r="H72" s="324" t="s">
        <v>158</v>
      </c>
      <c r="I72" s="324"/>
      <c r="J72" s="219"/>
      <c r="K72" s="219"/>
      <c r="L72" s="322" t="b">
        <f>NOT(ISBLANK(prj_num))</f>
        <v>0</v>
      </c>
      <c r="M72" s="324" t="s">
        <v>158</v>
      </c>
      <c r="N72" s="324"/>
      <c r="O72" s="218"/>
      <c r="P72" s="218"/>
      <c r="Q72" s="218"/>
      <c r="R72" s="218"/>
      <c r="S72" s="218"/>
      <c r="T72" s="218"/>
      <c r="U72" s="215"/>
      <c r="V72" s="214"/>
      <c r="W72" s="214"/>
      <c r="X72" s="214"/>
      <c r="Y72" s="214"/>
      <c r="Z72" s="214"/>
      <c r="AA72" s="214"/>
      <c r="AB72" s="214"/>
      <c r="AC72" s="214"/>
      <c r="AD72" s="214"/>
      <c r="AE72" s="214"/>
      <c r="AF72" s="214"/>
      <c r="AG72" s="214"/>
      <c r="AH72" s="214"/>
      <c r="AI72" s="214"/>
      <c r="AJ72" s="214"/>
      <c r="AK72" s="214"/>
      <c r="AL72" s="214"/>
      <c r="AM72" s="214"/>
      <c r="AN72" s="214"/>
      <c r="AO72" s="214"/>
      <c r="AP72" s="214"/>
      <c r="AQ72" s="214"/>
      <c r="AR72" s="214"/>
      <c r="AS72" s="214"/>
      <c r="AT72" s="214"/>
      <c r="AU72" s="214"/>
      <c r="AV72" s="214"/>
      <c r="AW72" s="214"/>
      <c r="AX72" s="214"/>
      <c r="AY72" s="214"/>
      <c r="AZ72" s="214"/>
      <c r="BA72" s="214"/>
      <c r="BB72" s="214"/>
      <c r="BC72" s="214"/>
      <c r="BD72" s="214"/>
      <c r="BE72" s="214"/>
      <c r="BF72" s="214"/>
      <c r="BG72" s="214"/>
      <c r="BH72" s="214"/>
      <c r="BI72" s="214"/>
      <c r="BJ72" s="214"/>
      <c r="BK72" s="214"/>
      <c r="BL72" s="214"/>
      <c r="BM72" s="214"/>
      <c r="BN72" s="214"/>
      <c r="BO72" s="214"/>
      <c r="BP72" s="214"/>
      <c r="BQ72" s="214"/>
      <c r="BR72" s="214"/>
    </row>
    <row r="73" spans="1:70" s="182" customFormat="1" x14ac:dyDescent="0.2">
      <c r="A73" s="322"/>
      <c r="B73" s="322"/>
      <c r="C73" s="322"/>
      <c r="D73" s="322"/>
      <c r="E73" s="323"/>
      <c r="F73" s="322" t="b">
        <f>NOT(ISBLANK(designer_company))</f>
        <v>0</v>
      </c>
      <c r="G73" s="322" t="b">
        <f>NOT(ISBLANK(designer_company))</f>
        <v>0</v>
      </c>
      <c r="H73" s="324" t="s">
        <v>326</v>
      </c>
      <c r="I73" s="324"/>
      <c r="J73" s="219"/>
      <c r="K73" s="219"/>
      <c r="L73" s="322" t="b">
        <f>NOT(ISBLANK(designer_company))</f>
        <v>0</v>
      </c>
      <c r="M73" s="324" t="s">
        <v>326</v>
      </c>
      <c r="N73" s="324"/>
      <c r="O73" s="218"/>
      <c r="P73" s="218"/>
      <c r="Q73" s="218"/>
      <c r="R73" s="218"/>
      <c r="S73" s="218"/>
      <c r="T73" s="218"/>
      <c r="U73" s="215"/>
      <c r="V73" s="214"/>
      <c r="W73" s="214"/>
      <c r="X73" s="214"/>
      <c r="Y73" s="214"/>
      <c r="Z73" s="214"/>
      <c r="AA73" s="214"/>
      <c r="AB73" s="214"/>
      <c r="AC73" s="214"/>
      <c r="AD73" s="214"/>
      <c r="AE73" s="214"/>
      <c r="AF73" s="214"/>
      <c r="AG73" s="214"/>
      <c r="AH73" s="214"/>
      <c r="AI73" s="214"/>
      <c r="AJ73" s="214"/>
      <c r="AK73" s="214"/>
      <c r="AL73" s="214"/>
      <c r="AM73" s="214"/>
      <c r="AN73" s="214"/>
      <c r="AO73" s="214"/>
      <c r="AP73" s="214"/>
      <c r="AQ73" s="214"/>
      <c r="AR73" s="214"/>
      <c r="AS73" s="214"/>
      <c r="AT73" s="214"/>
      <c r="AU73" s="214"/>
      <c r="AV73" s="214"/>
      <c r="AW73" s="214"/>
      <c r="AX73" s="214"/>
      <c r="AY73" s="214"/>
      <c r="AZ73" s="214"/>
      <c r="BA73" s="214"/>
      <c r="BB73" s="214"/>
      <c r="BC73" s="214"/>
      <c r="BD73" s="214"/>
      <c r="BE73" s="214"/>
      <c r="BF73" s="214"/>
      <c r="BG73" s="214"/>
      <c r="BH73" s="214"/>
      <c r="BI73" s="214"/>
      <c r="BJ73" s="214"/>
      <c r="BK73" s="214"/>
      <c r="BL73" s="214"/>
      <c r="BM73" s="214"/>
      <c r="BN73" s="214"/>
      <c r="BO73" s="214"/>
      <c r="BP73" s="214"/>
      <c r="BQ73" s="214"/>
      <c r="BR73" s="214"/>
    </row>
    <row r="74" spans="1:70" s="182" customFormat="1" ht="15" x14ac:dyDescent="0.25">
      <c r="A74" s="322"/>
      <c r="B74" s="322"/>
      <c r="C74" s="322"/>
      <c r="D74" s="322"/>
      <c r="E74" s="322"/>
      <c r="F74" s="322" t="b">
        <f>NOT(ISBLANK(equipment_type))</f>
        <v>0</v>
      </c>
      <c r="G74" s="322" t="b">
        <f>NOT(ISBLANK(equipment_type))</f>
        <v>0</v>
      </c>
      <c r="H74" s="325" t="s">
        <v>21</v>
      </c>
      <c r="I74" s="325"/>
      <c r="J74" s="219"/>
      <c r="K74" s="219"/>
      <c r="L74" s="322" t="b">
        <f>NOT(ISBLANK(equipment_type))</f>
        <v>0</v>
      </c>
      <c r="M74" s="325" t="s">
        <v>21</v>
      </c>
      <c r="N74" s="325"/>
      <c r="O74" s="218"/>
      <c r="P74" s="218"/>
      <c r="Q74" s="218"/>
      <c r="R74" s="218"/>
      <c r="S74" s="218"/>
      <c r="T74" s="218"/>
      <c r="U74" s="215"/>
      <c r="V74" s="214"/>
      <c r="W74" s="214"/>
      <c r="X74" s="214"/>
      <c r="Y74" s="214"/>
      <c r="Z74" s="214"/>
      <c r="AA74" s="214"/>
      <c r="AB74" s="214"/>
      <c r="AC74" s="214"/>
      <c r="AD74" s="214"/>
      <c r="AE74" s="214"/>
      <c r="AF74" s="214"/>
      <c r="AG74" s="214"/>
      <c r="AH74" s="214"/>
      <c r="AI74" s="214"/>
      <c r="AJ74" s="214"/>
      <c r="AK74" s="214"/>
      <c r="AL74" s="214"/>
      <c r="AM74" s="214"/>
      <c r="AN74" s="214"/>
      <c r="AO74" s="214"/>
      <c r="AP74" s="214"/>
      <c r="AQ74" s="214"/>
      <c r="AR74" s="214"/>
      <c r="AS74" s="214"/>
      <c r="AT74" s="214"/>
      <c r="AU74" s="214"/>
      <c r="AV74" s="214"/>
      <c r="AW74" s="214"/>
      <c r="AX74" s="214"/>
      <c r="AY74" s="214"/>
      <c r="AZ74" s="214"/>
      <c r="BA74" s="214"/>
      <c r="BB74" s="214"/>
      <c r="BC74" s="214"/>
      <c r="BD74" s="214"/>
      <c r="BE74" s="214"/>
      <c r="BF74" s="214"/>
      <c r="BG74" s="214"/>
      <c r="BH74" s="214"/>
      <c r="BI74" s="214"/>
      <c r="BJ74" s="214"/>
      <c r="BK74" s="214"/>
      <c r="BL74" s="214"/>
      <c r="BM74" s="214"/>
      <c r="BN74" s="214"/>
      <c r="BO74" s="214"/>
      <c r="BP74" s="214"/>
      <c r="BQ74" s="214"/>
      <c r="BR74" s="214"/>
    </row>
    <row r="75" spans="1:70" s="182" customFormat="1" x14ac:dyDescent="0.2">
      <c r="A75" s="322"/>
      <c r="B75" s="322"/>
      <c r="C75" s="322"/>
      <c r="D75" s="322"/>
      <c r="E75" s="322"/>
      <c r="F75" s="322" t="b">
        <f>IF(OR(equipment_type="Padmount Substation",equipment_type="Switching Station"),TRUE,NOT(ISBLANK(conductive_pole)))</f>
        <v>0</v>
      </c>
      <c r="G75" s="322" t="b">
        <f>IF(OR(equipment_type="Padmount Substation",equipment_type="Switching Station"),TRUE,NOT(ISBLANK(conductive_pole)))</f>
        <v>0</v>
      </c>
      <c r="H75" s="324" t="s">
        <v>373</v>
      </c>
      <c r="I75" s="324"/>
      <c r="J75" s="219"/>
      <c r="K75" s="219"/>
      <c r="L75" s="322" t="b">
        <f>IF(OR(equipment_type="Padmount Substation",equipment_type="Switching Station"),TRUE,NOT(ISBLANK(conductive_pole)))</f>
        <v>0</v>
      </c>
      <c r="M75" s="324" t="s">
        <v>373</v>
      </c>
      <c r="N75" s="324"/>
      <c r="O75" s="218"/>
      <c r="P75" s="218"/>
      <c r="Q75" s="218"/>
      <c r="R75" s="218"/>
      <c r="S75" s="218"/>
      <c r="T75" s="218"/>
      <c r="U75" s="215"/>
      <c r="V75" s="214"/>
      <c r="W75" s="214"/>
      <c r="X75" s="214"/>
      <c r="Y75" s="214"/>
      <c r="Z75" s="214"/>
      <c r="AA75" s="214"/>
      <c r="AB75" s="214"/>
      <c r="AC75" s="214"/>
      <c r="AD75" s="214"/>
      <c r="AE75" s="214"/>
      <c r="AF75" s="214"/>
      <c r="AG75" s="214"/>
      <c r="AH75" s="214"/>
      <c r="AI75" s="214"/>
      <c r="AJ75" s="214"/>
      <c r="AK75" s="214"/>
      <c r="AL75" s="214"/>
      <c r="AM75" s="214"/>
      <c r="AN75" s="214"/>
      <c r="AO75" s="214"/>
      <c r="AP75" s="214"/>
      <c r="AQ75" s="214"/>
      <c r="AR75" s="214"/>
      <c r="AS75" s="214"/>
      <c r="AT75" s="214"/>
      <c r="AU75" s="214"/>
      <c r="AV75" s="214"/>
      <c r="AW75" s="214"/>
      <c r="AX75" s="214"/>
      <c r="AY75" s="214"/>
      <c r="AZ75" s="214"/>
      <c r="BA75" s="214"/>
      <c r="BB75" s="214"/>
      <c r="BC75" s="214"/>
      <c r="BD75" s="214"/>
      <c r="BE75" s="214"/>
      <c r="BF75" s="214"/>
      <c r="BG75" s="214"/>
      <c r="BH75" s="214"/>
      <c r="BI75" s="214"/>
      <c r="BJ75" s="214"/>
      <c r="BK75" s="214"/>
      <c r="BL75" s="214"/>
      <c r="BM75" s="214"/>
      <c r="BN75" s="214"/>
      <c r="BO75" s="214"/>
      <c r="BP75" s="214"/>
      <c r="BQ75" s="214"/>
      <c r="BR75" s="214"/>
    </row>
    <row r="76" spans="1:70" s="182" customFormat="1" x14ac:dyDescent="0.2">
      <c r="A76" s="218"/>
      <c r="B76" s="322"/>
      <c r="C76" s="322"/>
      <c r="D76" s="322"/>
      <c r="E76" s="323"/>
      <c r="F76" s="322" t="b">
        <f>NOT(ISBLANK(location_category))</f>
        <v>0</v>
      </c>
      <c r="G76" s="322" t="b">
        <f>NOT(ISBLANK(location_category))</f>
        <v>0</v>
      </c>
      <c r="H76" s="218" t="s">
        <v>22</v>
      </c>
      <c r="I76" s="218"/>
      <c r="J76" s="219"/>
      <c r="K76" s="219"/>
      <c r="L76" s="322" t="b">
        <f>NOT(ISBLANK(location_category))</f>
        <v>0</v>
      </c>
      <c r="M76" s="218" t="s">
        <v>22</v>
      </c>
      <c r="N76" s="218"/>
      <c r="O76" s="218"/>
      <c r="P76" s="218"/>
      <c r="Q76" s="218"/>
      <c r="R76" s="218"/>
      <c r="S76" s="218"/>
      <c r="T76" s="218"/>
      <c r="U76" s="215"/>
      <c r="V76" s="214"/>
      <c r="W76" s="214"/>
      <c r="X76" s="214"/>
      <c r="Y76" s="214"/>
      <c r="Z76" s="214"/>
      <c r="AA76" s="214"/>
      <c r="AB76" s="214"/>
      <c r="AC76" s="214"/>
      <c r="AD76" s="214"/>
      <c r="AE76" s="214"/>
      <c r="AF76" s="214"/>
      <c r="AG76" s="214"/>
      <c r="AH76" s="214"/>
      <c r="AI76" s="214"/>
      <c r="AJ76" s="214"/>
      <c r="AK76" s="214"/>
      <c r="AL76" s="214"/>
      <c r="AM76" s="214"/>
      <c r="AN76" s="214"/>
      <c r="AO76" s="214"/>
      <c r="AP76" s="214"/>
      <c r="AQ76" s="214"/>
      <c r="AR76" s="214"/>
      <c r="AS76" s="214"/>
      <c r="AT76" s="214"/>
      <c r="AU76" s="214"/>
      <c r="AV76" s="214"/>
      <c r="AW76" s="214"/>
      <c r="AX76" s="214"/>
      <c r="AY76" s="214"/>
      <c r="AZ76" s="214"/>
      <c r="BA76" s="214"/>
      <c r="BB76" s="214"/>
      <c r="BC76" s="214"/>
      <c r="BD76" s="214"/>
      <c r="BE76" s="214"/>
      <c r="BF76" s="214"/>
      <c r="BG76" s="214"/>
      <c r="BH76" s="214"/>
      <c r="BI76" s="214"/>
      <c r="BJ76" s="214"/>
      <c r="BK76" s="214"/>
      <c r="BL76" s="214"/>
      <c r="BM76" s="214"/>
      <c r="BN76" s="214"/>
      <c r="BO76" s="214"/>
      <c r="BP76" s="214"/>
      <c r="BQ76" s="214"/>
      <c r="BR76" s="214"/>
    </row>
    <row r="77" spans="1:70" s="182" customFormat="1" x14ac:dyDescent="0.2">
      <c r="A77" s="221"/>
      <c r="B77" s="221"/>
      <c r="C77" s="221"/>
      <c r="D77" s="221"/>
      <c r="E77" s="221"/>
      <c r="F77" s="221" t="b">
        <f>NOT(ISBLANK(feeder))</f>
        <v>0</v>
      </c>
      <c r="G77" s="221" t="b">
        <f>NOT(ISBLANK(feeder))</f>
        <v>0</v>
      </c>
      <c r="H77" s="218" t="s">
        <v>19</v>
      </c>
      <c r="I77" s="218"/>
      <c r="J77" s="218"/>
      <c r="K77" s="218"/>
      <c r="L77" s="221" t="b">
        <f>NOT(ISBLANK(feeder))</f>
        <v>0</v>
      </c>
      <c r="M77" s="218" t="s">
        <v>19</v>
      </c>
      <c r="N77" s="218"/>
      <c r="O77" s="218"/>
      <c r="P77" s="218"/>
      <c r="Q77" s="218"/>
      <c r="R77" s="218"/>
      <c r="S77" s="218"/>
      <c r="T77" s="218"/>
      <c r="U77" s="215"/>
      <c r="V77" s="214"/>
      <c r="W77" s="214"/>
      <c r="X77" s="214"/>
      <c r="Y77" s="214"/>
      <c r="Z77" s="214"/>
      <c r="AA77" s="214"/>
      <c r="AB77" s="214"/>
      <c r="AC77" s="214"/>
      <c r="AD77" s="214"/>
      <c r="AE77" s="214"/>
      <c r="AF77" s="214"/>
      <c r="AG77" s="214"/>
      <c r="AH77" s="214"/>
      <c r="AI77" s="214"/>
      <c r="AJ77" s="214"/>
      <c r="AK77" s="214"/>
      <c r="AL77" s="214"/>
      <c r="AM77" s="214"/>
      <c r="AN77" s="214"/>
      <c r="AO77" s="214"/>
      <c r="AP77" s="214"/>
      <c r="AQ77" s="214"/>
      <c r="AR77" s="214"/>
      <c r="AS77" s="214"/>
      <c r="AT77" s="214"/>
      <c r="AU77" s="214"/>
      <c r="AV77" s="214"/>
      <c r="AW77" s="214"/>
      <c r="AX77" s="214"/>
      <c r="AY77" s="214"/>
      <c r="AZ77" s="214"/>
      <c r="BA77" s="214"/>
      <c r="BB77" s="214"/>
      <c r="BC77" s="214"/>
      <c r="BD77" s="214"/>
      <c r="BE77" s="214"/>
      <c r="BF77" s="214"/>
      <c r="BG77" s="214"/>
      <c r="BH77" s="214"/>
      <c r="BI77" s="214"/>
      <c r="BJ77" s="214"/>
      <c r="BK77" s="214"/>
      <c r="BL77" s="214"/>
      <c r="BM77" s="214"/>
      <c r="BN77" s="214"/>
      <c r="BO77" s="214"/>
      <c r="BP77" s="214"/>
      <c r="BQ77" s="214"/>
      <c r="BR77" s="214"/>
    </row>
    <row r="78" spans="1:70" s="182" customFormat="1" x14ac:dyDescent="0.2">
      <c r="A78" s="218"/>
      <c r="B78" s="218"/>
      <c r="C78" s="218"/>
      <c r="D78" s="218"/>
      <c r="E78" s="221"/>
      <c r="F78" s="221" t="b">
        <f>NOT(ISBLANK(voltage))</f>
        <v>0</v>
      </c>
      <c r="G78" s="221" t="b">
        <f>NOT(ISBLANK(voltage))</f>
        <v>0</v>
      </c>
      <c r="H78" s="218" t="s">
        <v>1</v>
      </c>
      <c r="I78" s="218"/>
      <c r="J78" s="218"/>
      <c r="K78" s="218"/>
      <c r="L78" s="221" t="b">
        <f>NOT(ISBLANK(voltage))</f>
        <v>0</v>
      </c>
      <c r="M78" s="218" t="s">
        <v>1</v>
      </c>
      <c r="N78" s="218"/>
      <c r="O78" s="218"/>
      <c r="P78" s="218"/>
      <c r="Q78" s="218"/>
      <c r="R78" s="218"/>
      <c r="S78" s="218"/>
      <c r="T78" s="218"/>
      <c r="U78" s="215"/>
      <c r="V78" s="214"/>
      <c r="W78" s="214"/>
      <c r="X78" s="214"/>
      <c r="Y78" s="214"/>
      <c r="Z78" s="214"/>
      <c r="AA78" s="214"/>
      <c r="AB78" s="214"/>
      <c r="AC78" s="214"/>
      <c r="AD78" s="214"/>
      <c r="AE78" s="214"/>
      <c r="AF78" s="214"/>
      <c r="AG78" s="214"/>
      <c r="AH78" s="214"/>
      <c r="AI78" s="214"/>
      <c r="AJ78" s="214"/>
      <c r="AK78" s="214"/>
      <c r="AL78" s="214"/>
      <c r="AM78" s="214"/>
      <c r="AN78" s="214"/>
      <c r="AO78" s="214"/>
      <c r="AP78" s="214"/>
      <c r="AQ78" s="214"/>
      <c r="AR78" s="214"/>
      <c r="AS78" s="214"/>
      <c r="AT78" s="214"/>
      <c r="AU78" s="214"/>
      <c r="AV78" s="214"/>
      <c r="AW78" s="214"/>
      <c r="AX78" s="214"/>
      <c r="AY78" s="214"/>
      <c r="AZ78" s="214"/>
      <c r="BA78" s="214"/>
      <c r="BB78" s="214"/>
      <c r="BC78" s="214"/>
      <c r="BD78" s="214"/>
      <c r="BE78" s="214"/>
      <c r="BF78" s="214"/>
      <c r="BG78" s="214"/>
      <c r="BH78" s="214"/>
      <c r="BI78" s="214"/>
      <c r="BJ78" s="214"/>
      <c r="BK78" s="214"/>
      <c r="BL78" s="214"/>
      <c r="BM78" s="214"/>
      <c r="BN78" s="214"/>
      <c r="BO78" s="214"/>
      <c r="BP78" s="214"/>
      <c r="BQ78" s="214"/>
      <c r="BR78" s="214"/>
    </row>
    <row r="79" spans="1:70" s="182" customFormat="1" ht="13.5" customHeight="1" x14ac:dyDescent="0.2">
      <c r="A79" s="218"/>
      <c r="B79" s="218"/>
      <c r="C79" s="218"/>
      <c r="D79" s="218"/>
      <c r="E79" s="221"/>
      <c r="F79" s="218" t="b">
        <f>NOT(ISBLANK(SEF_YN))</f>
        <v>0</v>
      </c>
      <c r="G79" s="218" t="b">
        <f>NOT(ISBLANK(SEF_YN))</f>
        <v>0</v>
      </c>
      <c r="H79" s="218" t="s">
        <v>27</v>
      </c>
      <c r="I79" s="218"/>
      <c r="J79" s="218"/>
      <c r="K79" s="218"/>
      <c r="L79" s="218" t="b">
        <f>NOT(ISBLANK(SEF_YN))</f>
        <v>0</v>
      </c>
      <c r="M79" s="218" t="s">
        <v>27</v>
      </c>
      <c r="N79" s="218"/>
      <c r="O79" s="218"/>
      <c r="P79" s="218"/>
      <c r="Q79" s="218"/>
      <c r="R79" s="218"/>
      <c r="S79" s="218"/>
      <c r="T79" s="218"/>
      <c r="U79" s="215"/>
      <c r="V79" s="214"/>
      <c r="W79" s="214"/>
      <c r="X79" s="214"/>
      <c r="Y79" s="214"/>
      <c r="Z79" s="214"/>
      <c r="AA79" s="214"/>
      <c r="AB79" s="214"/>
      <c r="AC79" s="214"/>
      <c r="AD79" s="214"/>
      <c r="AE79" s="214"/>
      <c r="AF79" s="214"/>
      <c r="AG79" s="214"/>
      <c r="AH79" s="214"/>
      <c r="AI79" s="214"/>
      <c r="AJ79" s="214"/>
      <c r="AK79" s="214"/>
      <c r="AL79" s="214"/>
      <c r="AM79" s="214"/>
      <c r="AN79" s="214"/>
      <c r="AO79" s="214"/>
      <c r="AP79" s="214"/>
      <c r="AQ79" s="214"/>
      <c r="AR79" s="214"/>
      <c r="AS79" s="214"/>
      <c r="AT79" s="214"/>
      <c r="AU79" s="214"/>
      <c r="AV79" s="214"/>
      <c r="AW79" s="214"/>
      <c r="AX79" s="214"/>
      <c r="AY79" s="214"/>
      <c r="AZ79" s="214"/>
      <c r="BA79" s="214"/>
      <c r="BB79" s="214"/>
      <c r="BC79" s="214"/>
      <c r="BD79" s="214"/>
      <c r="BE79" s="214"/>
      <c r="BF79" s="214"/>
      <c r="BG79" s="214"/>
      <c r="BH79" s="214"/>
      <c r="BI79" s="214"/>
      <c r="BJ79" s="214"/>
      <c r="BK79" s="214"/>
      <c r="BL79" s="214"/>
      <c r="BM79" s="214"/>
      <c r="BN79" s="214"/>
      <c r="BO79" s="214"/>
      <c r="BP79" s="214"/>
      <c r="BQ79" s="214"/>
      <c r="BR79" s="214"/>
    </row>
    <row r="80" spans="1:70" s="182" customFormat="1" x14ac:dyDescent="0.2">
      <c r="A80" s="218"/>
      <c r="B80" s="218"/>
      <c r="C80" s="218"/>
      <c r="D80" s="218"/>
      <c r="E80" s="218"/>
      <c r="F80" s="218" t="b">
        <f>NOT(ISBLANK(FL))</f>
        <v>0</v>
      </c>
      <c r="G80" s="218" t="b">
        <f>NOT(ISBLANK(FL))</f>
        <v>0</v>
      </c>
      <c r="H80" s="218" t="s">
        <v>37</v>
      </c>
      <c r="I80" s="218"/>
      <c r="J80" s="218"/>
      <c r="K80" s="218"/>
      <c r="L80" s="218" t="b">
        <f>NOT(ISBLANK(FL))</f>
        <v>0</v>
      </c>
      <c r="M80" s="218" t="s">
        <v>37</v>
      </c>
      <c r="N80" s="218"/>
      <c r="O80" s="218"/>
      <c r="P80" s="218"/>
      <c r="Q80" s="218"/>
      <c r="R80" s="218"/>
      <c r="S80" s="218"/>
      <c r="T80" s="218"/>
      <c r="U80" s="215"/>
      <c r="V80" s="214"/>
      <c r="W80" s="214"/>
      <c r="X80" s="214"/>
      <c r="Y80" s="214"/>
      <c r="Z80" s="214"/>
      <c r="AA80" s="214"/>
      <c r="AB80" s="214"/>
      <c r="AC80" s="214"/>
      <c r="AD80" s="214"/>
      <c r="AE80" s="214"/>
      <c r="AF80" s="214"/>
      <c r="AG80" s="214"/>
      <c r="AH80" s="214"/>
      <c r="AI80" s="214"/>
      <c r="AJ80" s="214"/>
      <c r="AK80" s="214"/>
      <c r="AL80" s="214"/>
      <c r="AM80" s="214"/>
      <c r="AN80" s="214"/>
      <c r="AO80" s="214"/>
      <c r="AP80" s="214"/>
      <c r="AQ80" s="214"/>
      <c r="AR80" s="214"/>
      <c r="AS80" s="214"/>
      <c r="AT80" s="214"/>
      <c r="AU80" s="214"/>
      <c r="AV80" s="214"/>
      <c r="AW80" s="214"/>
      <c r="AX80" s="214"/>
      <c r="AY80" s="214"/>
      <c r="AZ80" s="214"/>
      <c r="BA80" s="214"/>
      <c r="BB80" s="214"/>
      <c r="BC80" s="214"/>
      <c r="BD80" s="214"/>
      <c r="BE80" s="214"/>
      <c r="BF80" s="214"/>
      <c r="BG80" s="214"/>
      <c r="BH80" s="214"/>
      <c r="BI80" s="214"/>
      <c r="BJ80" s="214"/>
      <c r="BK80" s="214"/>
      <c r="BL80" s="214"/>
      <c r="BM80" s="214"/>
      <c r="BN80" s="214"/>
      <c r="BO80" s="214"/>
      <c r="BP80" s="214"/>
      <c r="BQ80" s="214"/>
      <c r="BR80" s="214"/>
    </row>
    <row r="81" spans="1:70" s="182" customFormat="1" x14ac:dyDescent="0.2">
      <c r="A81" s="218"/>
      <c r="B81" s="218"/>
      <c r="C81" s="218"/>
      <c r="D81" s="218"/>
      <c r="E81" s="218"/>
      <c r="F81" s="218" t="b">
        <f>NOT(ISBLANK(ef_settings_used))</f>
        <v>0</v>
      </c>
      <c r="G81" s="218" t="b">
        <f>NOT(ISBLANK(ef_settings_used))</f>
        <v>0</v>
      </c>
      <c r="H81" s="218" t="s">
        <v>165</v>
      </c>
      <c r="I81" s="218"/>
      <c r="J81" s="218"/>
      <c r="K81" s="218"/>
      <c r="L81" s="218" t="b">
        <f>NOT(ISBLANK(ef_settings_used))</f>
        <v>0</v>
      </c>
      <c r="M81" s="218" t="s">
        <v>165</v>
      </c>
      <c r="N81" s="218"/>
      <c r="O81" s="218"/>
      <c r="P81" s="218"/>
      <c r="Q81" s="218"/>
      <c r="R81" s="218"/>
      <c r="S81" s="218"/>
      <c r="T81" s="218"/>
      <c r="U81" s="215"/>
      <c r="V81" s="214"/>
      <c r="W81" s="214"/>
      <c r="X81" s="214"/>
      <c r="Y81" s="214"/>
      <c r="Z81" s="214"/>
      <c r="AA81" s="214"/>
      <c r="AB81" s="214"/>
      <c r="AC81" s="214"/>
      <c r="AD81" s="214"/>
      <c r="AE81" s="214"/>
      <c r="AF81" s="214"/>
      <c r="AG81" s="214"/>
      <c r="AH81" s="214"/>
      <c r="AI81" s="214"/>
      <c r="AJ81" s="214"/>
      <c r="AK81" s="214"/>
      <c r="AL81" s="214"/>
      <c r="AM81" s="214"/>
      <c r="AN81" s="214"/>
      <c r="AO81" s="214"/>
      <c r="AP81" s="214"/>
      <c r="AQ81" s="214"/>
      <c r="AR81" s="214"/>
      <c r="AS81" s="214"/>
      <c r="AT81" s="214"/>
      <c r="AU81" s="214"/>
      <c r="AV81" s="214"/>
      <c r="AW81" s="214"/>
      <c r="AX81" s="214"/>
      <c r="AY81" s="214"/>
      <c r="AZ81" s="214"/>
      <c r="BA81" s="214"/>
      <c r="BB81" s="214"/>
      <c r="BC81" s="214"/>
      <c r="BD81" s="214"/>
      <c r="BE81" s="214"/>
      <c r="BF81" s="214"/>
      <c r="BG81" s="214"/>
      <c r="BH81" s="214"/>
      <c r="BI81" s="214"/>
      <c r="BJ81" s="214"/>
      <c r="BK81" s="214"/>
      <c r="BL81" s="214"/>
      <c r="BM81" s="214"/>
      <c r="BN81" s="214"/>
      <c r="BO81" s="214"/>
      <c r="BP81" s="214"/>
      <c r="BQ81" s="214"/>
      <c r="BR81" s="214"/>
    </row>
    <row r="82" spans="1:70" s="182" customFormat="1" x14ac:dyDescent="0.2">
      <c r="A82" s="218"/>
      <c r="B82" s="218"/>
      <c r="C82" s="218"/>
      <c r="D82" s="218"/>
      <c r="E82" s="218"/>
      <c r="F82" s="218" t="b">
        <f>NOT(ISBLANK(config))</f>
        <v>0</v>
      </c>
      <c r="G82" s="218" t="b">
        <f>NOT(ISBLANK(config))</f>
        <v>0</v>
      </c>
      <c r="H82" s="218" t="s">
        <v>91</v>
      </c>
      <c r="I82" s="218"/>
      <c r="J82" s="218"/>
      <c r="K82" s="218"/>
      <c r="L82" s="218" t="b">
        <f>NOT(ISBLANK(config))</f>
        <v>0</v>
      </c>
      <c r="M82" s="218" t="s">
        <v>91</v>
      </c>
      <c r="N82" s="218"/>
      <c r="O82" s="218"/>
      <c r="P82" s="218"/>
      <c r="Q82" s="218"/>
      <c r="R82" s="218"/>
      <c r="S82" s="218"/>
      <c r="T82" s="218"/>
      <c r="U82" s="215"/>
      <c r="V82" s="214"/>
      <c r="W82" s="214"/>
      <c r="X82" s="214"/>
      <c r="Y82" s="214"/>
      <c r="Z82" s="214"/>
      <c r="AA82" s="214"/>
      <c r="AB82" s="214"/>
      <c r="AC82" s="214"/>
      <c r="AD82" s="214"/>
      <c r="AE82" s="214"/>
      <c r="AF82" s="214"/>
      <c r="AG82" s="214"/>
      <c r="AH82" s="214"/>
      <c r="AI82" s="214"/>
      <c r="AJ82" s="214"/>
      <c r="AK82" s="214"/>
      <c r="AL82" s="214"/>
      <c r="AM82" s="214"/>
      <c r="AN82" s="214"/>
      <c r="AO82" s="214"/>
      <c r="AP82" s="214"/>
      <c r="AQ82" s="214"/>
      <c r="AR82" s="214"/>
      <c r="AS82" s="214"/>
      <c r="AT82" s="214"/>
      <c r="AU82" s="214"/>
      <c r="AV82" s="214"/>
      <c r="AW82" s="214"/>
      <c r="AX82" s="214"/>
      <c r="AY82" s="214"/>
      <c r="AZ82" s="214"/>
      <c r="BA82" s="214"/>
      <c r="BB82" s="214"/>
      <c r="BC82" s="214"/>
      <c r="BD82" s="214"/>
      <c r="BE82" s="214"/>
      <c r="BF82" s="214"/>
      <c r="BG82" s="214"/>
      <c r="BH82" s="214"/>
      <c r="BI82" s="214"/>
      <c r="BJ82" s="214"/>
      <c r="BK82" s="214"/>
      <c r="BL82" s="214"/>
      <c r="BM82" s="214"/>
      <c r="BN82" s="214"/>
      <c r="BO82" s="214"/>
      <c r="BP82" s="214"/>
      <c r="BQ82" s="214"/>
      <c r="BR82" s="214"/>
    </row>
    <row r="83" spans="1:70" s="182" customFormat="1" x14ac:dyDescent="0.2">
      <c r="A83" s="218"/>
      <c r="B83" s="218"/>
      <c r="C83" s="218"/>
      <c r="D83" s="218"/>
      <c r="E83" s="218"/>
      <c r="F83" s="218" t="b">
        <f>NOT(ISBLANK(DBZS))</f>
        <v>0</v>
      </c>
      <c r="G83" s="218" t="b">
        <f>NOT(ISBLANK(DBZS))</f>
        <v>0</v>
      </c>
      <c r="H83" s="218" t="s">
        <v>93</v>
      </c>
      <c r="I83" s="218"/>
      <c r="J83" s="218"/>
      <c r="K83" s="218"/>
      <c r="L83" s="218" t="b">
        <f>NOT(ISBLANK(DBZS))</f>
        <v>0</v>
      </c>
      <c r="M83" s="218" t="s">
        <v>93</v>
      </c>
      <c r="N83" s="218"/>
      <c r="O83" s="218"/>
      <c r="P83" s="218"/>
      <c r="Q83" s="218"/>
      <c r="R83" s="218"/>
      <c r="S83" s="218"/>
      <c r="T83" s="218"/>
      <c r="U83" s="215"/>
      <c r="V83" s="214"/>
      <c r="W83" s="214"/>
      <c r="X83" s="214"/>
      <c r="Y83" s="214"/>
      <c r="Z83" s="214"/>
      <c r="AA83" s="214"/>
      <c r="AB83" s="214"/>
      <c r="AC83" s="214"/>
      <c r="AD83" s="214"/>
      <c r="AE83" s="214"/>
      <c r="AF83" s="214"/>
      <c r="AG83" s="214"/>
      <c r="AH83" s="214"/>
      <c r="AI83" s="214"/>
      <c r="AJ83" s="214"/>
      <c r="AK83" s="214"/>
      <c r="AL83" s="214"/>
      <c r="AM83" s="214"/>
      <c r="AN83" s="214"/>
      <c r="AO83" s="214"/>
      <c r="AP83" s="214"/>
      <c r="AQ83" s="214"/>
      <c r="AR83" s="214"/>
      <c r="AS83" s="214"/>
      <c r="AT83" s="214"/>
      <c r="AU83" s="214"/>
      <c r="AV83" s="214"/>
      <c r="AW83" s="214"/>
      <c r="AX83" s="214"/>
      <c r="AY83" s="214"/>
      <c r="AZ83" s="214"/>
      <c r="BA83" s="214"/>
      <c r="BB83" s="214"/>
      <c r="BC83" s="214"/>
      <c r="BD83" s="214"/>
      <c r="BE83" s="214"/>
      <c r="BF83" s="214"/>
      <c r="BG83" s="214"/>
      <c r="BH83" s="214"/>
      <c r="BI83" s="214"/>
      <c r="BJ83" s="214"/>
      <c r="BK83" s="214"/>
      <c r="BL83" s="214"/>
      <c r="BM83" s="214"/>
      <c r="BN83" s="214"/>
      <c r="BO83" s="214"/>
      <c r="BP83" s="214"/>
      <c r="BQ83" s="214"/>
      <c r="BR83" s="214"/>
    </row>
    <row r="84" spans="1:70" s="182" customFormat="1" x14ac:dyDescent="0.2">
      <c r="A84" s="218"/>
      <c r="B84" s="218"/>
      <c r="C84" s="218"/>
      <c r="D84" s="218"/>
      <c r="E84" s="221"/>
      <c r="F84" s="218" t="b">
        <f>NOT(ISBLANK(rad))</f>
        <v>0</v>
      </c>
      <c r="G84" s="218" t="b">
        <f>NOT(ISBLANK(rad))</f>
        <v>0</v>
      </c>
      <c r="H84" s="218" t="s">
        <v>61</v>
      </c>
      <c r="I84" s="218"/>
      <c r="J84" s="218"/>
      <c r="K84" s="218"/>
      <c r="L84" s="218" t="b">
        <f>NOT(ISBLANK(rad))</f>
        <v>0</v>
      </c>
      <c r="M84" s="218" t="s">
        <v>61</v>
      </c>
      <c r="N84" s="218"/>
      <c r="O84" s="218"/>
      <c r="P84" s="218"/>
      <c r="Q84" s="218"/>
      <c r="R84" s="218"/>
      <c r="S84" s="218"/>
      <c r="T84" s="218"/>
      <c r="U84" s="215"/>
      <c r="V84" s="214"/>
      <c r="W84" s="214"/>
      <c r="X84" s="214"/>
      <c r="Y84" s="214"/>
      <c r="Z84" s="214"/>
      <c r="AA84" s="214"/>
      <c r="AB84" s="214"/>
      <c r="AC84" s="214"/>
      <c r="AD84" s="214"/>
      <c r="AE84" s="214"/>
      <c r="AF84" s="214"/>
      <c r="AG84" s="214"/>
      <c r="AH84" s="214"/>
      <c r="AI84" s="214"/>
      <c r="AJ84" s="214"/>
      <c r="AK84" s="214"/>
      <c r="AL84" s="214"/>
      <c r="AM84" s="214"/>
      <c r="AN84" s="214"/>
      <c r="AO84" s="214"/>
      <c r="AP84" s="214"/>
      <c r="AQ84" s="214"/>
      <c r="AR84" s="214"/>
      <c r="AS84" s="214"/>
      <c r="AT84" s="214"/>
      <c r="AU84" s="214"/>
      <c r="AV84" s="214"/>
      <c r="AW84" s="214"/>
      <c r="AX84" s="214"/>
      <c r="AY84" s="214"/>
      <c r="AZ84" s="214"/>
      <c r="BA84" s="214"/>
      <c r="BB84" s="214"/>
      <c r="BC84" s="214"/>
      <c r="BD84" s="214"/>
      <c r="BE84" s="214"/>
      <c r="BF84" s="214"/>
      <c r="BG84" s="214"/>
      <c r="BH84" s="214"/>
      <c r="BI84" s="214"/>
      <c r="BJ84" s="214"/>
      <c r="BK84" s="214"/>
      <c r="BL84" s="214"/>
      <c r="BM84" s="214"/>
      <c r="BN84" s="214"/>
      <c r="BO84" s="214"/>
      <c r="BP84" s="214"/>
      <c r="BQ84" s="214"/>
      <c r="BR84" s="214"/>
    </row>
    <row r="85" spans="1:70" s="182" customFormat="1" x14ac:dyDescent="0.2">
      <c r="A85" s="218"/>
      <c r="B85" s="218"/>
      <c r="C85" s="218"/>
      <c r="D85" s="218"/>
      <c r="E85" s="221"/>
      <c r="F85" s="218" t="b">
        <f>NOT(ISBLANK(L))</f>
        <v>0</v>
      </c>
      <c r="G85" s="218" t="b">
        <f>NOT(ISBLANK(L))</f>
        <v>0</v>
      </c>
      <c r="H85" s="218" t="s">
        <v>364</v>
      </c>
      <c r="I85" s="218"/>
      <c r="J85" s="218"/>
      <c r="K85" s="218"/>
      <c r="L85" s="218" t="b">
        <f>NOT(ISBLANK(L))</f>
        <v>0</v>
      </c>
      <c r="M85" s="218" t="s">
        <v>364</v>
      </c>
      <c r="N85" s="218"/>
      <c r="O85" s="218"/>
      <c r="P85" s="218"/>
      <c r="Q85" s="218"/>
      <c r="R85" s="218"/>
      <c r="S85" s="218"/>
      <c r="T85" s="218"/>
      <c r="U85" s="215"/>
      <c r="V85" s="214"/>
      <c r="W85" s="214"/>
      <c r="X85" s="214"/>
      <c r="Y85" s="214"/>
      <c r="Z85" s="214"/>
      <c r="AA85" s="214"/>
      <c r="AB85" s="214"/>
      <c r="AC85" s="214"/>
      <c r="AD85" s="214"/>
      <c r="AE85" s="214"/>
      <c r="AF85" s="214"/>
      <c r="AG85" s="214"/>
      <c r="AH85" s="214"/>
      <c r="AI85" s="214"/>
      <c r="AJ85" s="214"/>
      <c r="AK85" s="214"/>
      <c r="AL85" s="214"/>
      <c r="AM85" s="214"/>
      <c r="AN85" s="214"/>
      <c r="AO85" s="214"/>
      <c r="AP85" s="214"/>
      <c r="AQ85" s="214"/>
      <c r="AR85" s="214"/>
      <c r="AS85" s="214"/>
      <c r="AT85" s="214"/>
      <c r="AU85" s="214"/>
      <c r="AV85" s="214"/>
      <c r="AW85" s="214"/>
      <c r="AX85" s="214"/>
      <c r="AY85" s="214"/>
      <c r="AZ85" s="214"/>
      <c r="BA85" s="214"/>
      <c r="BB85" s="214"/>
      <c r="BC85" s="214"/>
      <c r="BD85" s="214"/>
      <c r="BE85" s="214"/>
      <c r="BF85" s="214"/>
      <c r="BG85" s="214"/>
      <c r="BH85" s="214"/>
      <c r="BI85" s="214"/>
      <c r="BJ85" s="214"/>
      <c r="BK85" s="214"/>
      <c r="BL85" s="214"/>
      <c r="BM85" s="214"/>
      <c r="BN85" s="214"/>
      <c r="BO85" s="214"/>
      <c r="BP85" s="214"/>
      <c r="BQ85" s="214"/>
      <c r="BR85" s="214"/>
    </row>
    <row r="86" spans="1:70" s="182" customFormat="1" x14ac:dyDescent="0.2">
      <c r="A86" s="326"/>
      <c r="B86" s="218"/>
      <c r="C86" s="218"/>
      <c r="D86" s="218"/>
      <c r="E86" s="221"/>
      <c r="F86" s="218" t="b">
        <f>NOT(ISBLANK(N))</f>
        <v>0</v>
      </c>
      <c r="G86" s="218" t="b">
        <f>NOT(ISBLANK(N))</f>
        <v>0</v>
      </c>
      <c r="H86" s="218" t="s">
        <v>3</v>
      </c>
      <c r="I86" s="218"/>
      <c r="J86" s="218"/>
      <c r="K86" s="218"/>
      <c r="L86" s="218" t="b">
        <f>NOT(ISBLANK(N))</f>
        <v>0</v>
      </c>
      <c r="M86" s="218" t="s">
        <v>3</v>
      </c>
      <c r="N86" s="218"/>
      <c r="O86" s="218"/>
      <c r="P86" s="218"/>
      <c r="Q86" s="218"/>
      <c r="R86" s="218"/>
      <c r="S86" s="218"/>
      <c r="T86" s="218"/>
      <c r="U86" s="215"/>
      <c r="V86" s="214"/>
      <c r="W86" s="214"/>
      <c r="X86" s="214"/>
      <c r="Y86" s="214"/>
      <c r="Z86" s="214"/>
      <c r="AA86" s="214"/>
      <c r="AB86" s="214"/>
      <c r="AC86" s="214"/>
      <c r="AD86" s="214"/>
      <c r="AE86" s="214"/>
      <c r="AF86" s="214"/>
      <c r="AG86" s="214"/>
      <c r="AH86" s="214"/>
      <c r="AI86" s="214"/>
      <c r="AJ86" s="214"/>
      <c r="AK86" s="214"/>
      <c r="AL86" s="214"/>
      <c r="AM86" s="214"/>
      <c r="AN86" s="214"/>
      <c r="AO86" s="214"/>
      <c r="AP86" s="214"/>
      <c r="AQ86" s="214"/>
      <c r="AR86" s="214"/>
      <c r="AS86" s="214"/>
      <c r="AT86" s="214"/>
      <c r="AU86" s="214"/>
      <c r="AV86" s="214"/>
      <c r="AW86" s="214"/>
      <c r="AX86" s="214"/>
      <c r="AY86" s="214"/>
      <c r="AZ86" s="214"/>
      <c r="BA86" s="214"/>
      <c r="BB86" s="214"/>
      <c r="BC86" s="214"/>
      <c r="BD86" s="214"/>
      <c r="BE86" s="214"/>
      <c r="BF86" s="214"/>
      <c r="BG86" s="214"/>
      <c r="BH86" s="214"/>
      <c r="BI86" s="214"/>
      <c r="BJ86" s="214"/>
      <c r="BK86" s="214"/>
      <c r="BL86" s="214"/>
      <c r="BM86" s="214"/>
      <c r="BN86" s="214"/>
      <c r="BO86" s="214"/>
      <c r="BP86" s="214"/>
      <c r="BQ86" s="214"/>
      <c r="BR86" s="214"/>
    </row>
    <row r="87" spans="1:70" s="182" customFormat="1" x14ac:dyDescent="0.2">
      <c r="A87" s="218"/>
      <c r="B87" s="218"/>
      <c r="C87" s="218"/>
      <c r="D87" s="218"/>
      <c r="E87" s="221"/>
      <c r="F87" s="218" t="b">
        <f>NOT(ISBLANK(N_customers))</f>
        <v>0</v>
      </c>
      <c r="G87" s="218" t="b">
        <f>NOT(ISBLANK(N_customers))</f>
        <v>0</v>
      </c>
      <c r="H87" s="218" t="s">
        <v>99</v>
      </c>
      <c r="I87" s="218"/>
      <c r="J87" s="218"/>
      <c r="K87" s="218"/>
      <c r="L87" s="218" t="b">
        <f>NOT(ISBLANK(N_customers))</f>
        <v>0</v>
      </c>
      <c r="M87" s="218" t="s">
        <v>99</v>
      </c>
      <c r="N87" s="218"/>
      <c r="O87" s="218"/>
      <c r="P87" s="218"/>
      <c r="Q87" s="218"/>
      <c r="R87" s="218"/>
      <c r="S87" s="218"/>
      <c r="T87" s="218"/>
      <c r="U87" s="215"/>
      <c r="V87" s="214"/>
      <c r="W87" s="214"/>
      <c r="X87" s="214"/>
      <c r="Y87" s="214"/>
      <c r="Z87" s="214"/>
      <c r="AA87" s="214"/>
      <c r="AB87" s="214"/>
      <c r="AC87" s="214"/>
      <c r="AD87" s="214"/>
      <c r="AE87" s="214"/>
      <c r="AF87" s="214"/>
      <c r="AG87" s="214"/>
      <c r="AH87" s="214"/>
      <c r="AI87" s="214"/>
      <c r="AJ87" s="214"/>
      <c r="AK87" s="214"/>
      <c r="AL87" s="214"/>
      <c r="AM87" s="214"/>
      <c r="AN87" s="214"/>
      <c r="AO87" s="214"/>
      <c r="AP87" s="214"/>
      <c r="AQ87" s="214"/>
      <c r="AR87" s="214"/>
      <c r="AS87" s="214"/>
      <c r="AT87" s="214"/>
      <c r="AU87" s="214"/>
      <c r="AV87" s="214"/>
      <c r="AW87" s="214"/>
      <c r="AX87" s="214"/>
      <c r="AY87" s="214"/>
      <c r="AZ87" s="214"/>
      <c r="BA87" s="214"/>
      <c r="BB87" s="214"/>
      <c r="BC87" s="214"/>
      <c r="BD87" s="214"/>
      <c r="BE87" s="214"/>
      <c r="BF87" s="214"/>
      <c r="BG87" s="214"/>
      <c r="BH87" s="214"/>
      <c r="BI87" s="214"/>
      <c r="BJ87" s="214"/>
      <c r="BK87" s="214"/>
      <c r="BL87" s="214"/>
      <c r="BM87" s="214"/>
      <c r="BN87" s="214"/>
      <c r="BO87" s="214"/>
      <c r="BP87" s="214"/>
      <c r="BQ87" s="214"/>
      <c r="BR87" s="214"/>
    </row>
    <row r="88" spans="1:70" s="182" customFormat="1" x14ac:dyDescent="0.2">
      <c r="A88" s="218"/>
      <c r="B88" s="218"/>
      <c r="C88" s="218"/>
      <c r="D88" s="218"/>
      <c r="E88" s="218"/>
      <c r="F88" s="218" t="b">
        <f>NOT(ISBLANK(MEN_type))</f>
        <v>0</v>
      </c>
      <c r="G88" s="218" t="b">
        <f>NOT(ISBLANK(MEN_type))</f>
        <v>0</v>
      </c>
      <c r="H88" s="218" t="s">
        <v>381</v>
      </c>
      <c r="I88" s="218"/>
      <c r="J88" s="218"/>
      <c r="K88" s="218"/>
      <c r="L88" s="218" t="b">
        <f>NOT(ISBLANK(MEN_type))</f>
        <v>0</v>
      </c>
      <c r="M88" s="218" t="s">
        <v>381</v>
      </c>
      <c r="N88" s="218"/>
      <c r="O88" s="218"/>
      <c r="P88" s="218"/>
      <c r="Q88" s="218"/>
      <c r="R88" s="218"/>
      <c r="S88" s="218"/>
      <c r="T88" s="218"/>
      <c r="U88" s="215"/>
      <c r="V88" s="214"/>
      <c r="W88" s="214"/>
      <c r="X88" s="214"/>
      <c r="Y88" s="214"/>
      <c r="Z88" s="214"/>
      <c r="AA88" s="214"/>
      <c r="AB88" s="214"/>
      <c r="AC88" s="214"/>
      <c r="AD88" s="214"/>
      <c r="AE88" s="214"/>
      <c r="AF88" s="214"/>
      <c r="AG88" s="214"/>
      <c r="AH88" s="214"/>
      <c r="AI88" s="214"/>
      <c r="AJ88" s="214"/>
      <c r="AK88" s="214"/>
      <c r="AL88" s="214"/>
      <c r="AM88" s="214"/>
      <c r="AN88" s="214"/>
      <c r="AO88" s="214"/>
      <c r="AP88" s="214"/>
      <c r="AQ88" s="214"/>
      <c r="AR88" s="214"/>
      <c r="AS88" s="214"/>
      <c r="AT88" s="214"/>
      <c r="AU88" s="214"/>
      <c r="AV88" s="214"/>
      <c r="AW88" s="214"/>
      <c r="AX88" s="214"/>
      <c r="AY88" s="214"/>
      <c r="AZ88" s="214"/>
      <c r="BA88" s="214"/>
      <c r="BB88" s="214"/>
      <c r="BC88" s="214"/>
      <c r="BD88" s="214"/>
      <c r="BE88" s="214"/>
      <c r="BF88" s="214"/>
      <c r="BG88" s="214"/>
      <c r="BH88" s="214"/>
      <c r="BI88" s="214"/>
      <c r="BJ88" s="214"/>
      <c r="BK88" s="214"/>
      <c r="BL88" s="214"/>
      <c r="BM88" s="214"/>
      <c r="BN88" s="214"/>
      <c r="BO88" s="214"/>
      <c r="BP88" s="214"/>
      <c r="BQ88" s="214"/>
      <c r="BR88" s="214"/>
    </row>
    <row r="89" spans="1:70" s="182" customFormat="1" x14ac:dyDescent="0.2">
      <c r="A89" s="218"/>
      <c r="B89" s="218"/>
      <c r="C89" s="218"/>
      <c r="D89" s="218"/>
      <c r="E89" s="218" t="str">
        <f>C17</f>
        <v>Zone Substation</v>
      </c>
      <c r="F89" s="218" t="b">
        <f>NOT(ISBLANK(ZS))</f>
        <v>0</v>
      </c>
      <c r="G89" s="218" t="b">
        <f>NOT(ISBLANK(lv_bond))</f>
        <v>1</v>
      </c>
      <c r="H89" s="221" t="str">
        <f>H31</f>
        <v>Neutral bond to 1 other DS?</v>
      </c>
      <c r="I89" s="218"/>
      <c r="J89" s="218"/>
      <c r="K89" s="218"/>
      <c r="L89" s="218" t="b">
        <f>NOT(ISBLANK(ZS))</f>
        <v>0</v>
      </c>
      <c r="M89" s="221" t="str">
        <f>E89</f>
        <v>Zone Substation</v>
      </c>
      <c r="N89" s="218"/>
      <c r="O89" s="218"/>
      <c r="P89" s="218"/>
      <c r="Q89" s="218"/>
      <c r="R89" s="218"/>
      <c r="S89" s="218"/>
      <c r="T89" s="218"/>
      <c r="U89" s="215"/>
      <c r="V89" s="214"/>
      <c r="W89" s="214"/>
      <c r="X89" s="214"/>
      <c r="Y89" s="214"/>
      <c r="Z89" s="214"/>
      <c r="AA89" s="214"/>
      <c r="AB89" s="214"/>
      <c r="AC89" s="214"/>
      <c r="AD89" s="214"/>
      <c r="AE89" s="214"/>
      <c r="AF89" s="214"/>
      <c r="AG89" s="214"/>
      <c r="AH89" s="214"/>
      <c r="AI89" s="214"/>
      <c r="AJ89" s="214"/>
      <c r="AK89" s="214"/>
      <c r="AL89" s="214"/>
      <c r="AM89" s="214"/>
      <c r="AN89" s="214"/>
      <c r="AO89" s="214"/>
      <c r="AP89" s="214"/>
      <c r="AQ89" s="214"/>
      <c r="AR89" s="214"/>
      <c r="AS89" s="214"/>
      <c r="AT89" s="214"/>
      <c r="AU89" s="214"/>
      <c r="AV89" s="214"/>
      <c r="AW89" s="214"/>
      <c r="AX89" s="214"/>
      <c r="AY89" s="214"/>
      <c r="AZ89" s="214"/>
      <c r="BA89" s="214"/>
      <c r="BB89" s="214"/>
      <c r="BC89" s="214"/>
      <c r="BD89" s="214"/>
      <c r="BE89" s="214"/>
      <c r="BF89" s="214"/>
      <c r="BG89" s="214"/>
      <c r="BH89" s="214"/>
      <c r="BI89" s="214"/>
      <c r="BJ89" s="214"/>
      <c r="BK89" s="214"/>
      <c r="BL89" s="214"/>
      <c r="BM89" s="214"/>
      <c r="BN89" s="214"/>
      <c r="BO89" s="214"/>
      <c r="BP89" s="214"/>
      <c r="BQ89" s="214"/>
      <c r="BR89" s="214"/>
    </row>
    <row r="90" spans="1:70" s="182" customFormat="1" x14ac:dyDescent="0.2">
      <c r="A90" s="218"/>
      <c r="B90" s="218"/>
      <c r="C90" s="218"/>
      <c r="D90" s="218"/>
      <c r="E90" s="221" t="str">
        <f>C9</f>
        <v>Designed by:</v>
      </c>
      <c r="F90" s="218" t="b">
        <f>NOT(ISBLANK(designer_name))</f>
        <v>0</v>
      </c>
      <c r="G90" s="218" t="b">
        <f>NOT(ISBLANK(L_LV))</f>
        <v>1</v>
      </c>
      <c r="H90" s="221" t="str">
        <f>H32</f>
        <v>Length "L" of rod/s (m)</v>
      </c>
      <c r="I90" s="218"/>
      <c r="J90" s="218"/>
      <c r="K90" s="218"/>
      <c r="L90" s="218" t="b">
        <f>NOT(ISBLANK(designer_name))</f>
        <v>0</v>
      </c>
      <c r="M90" s="221" t="str">
        <f>E90</f>
        <v>Designed by:</v>
      </c>
      <c r="N90" s="218"/>
      <c r="O90" s="218"/>
      <c r="P90" s="218"/>
      <c r="Q90" s="218"/>
      <c r="R90" s="218"/>
      <c r="S90" s="218"/>
      <c r="T90" s="218"/>
      <c r="U90" s="215"/>
      <c r="V90" s="214"/>
      <c r="W90" s="214"/>
      <c r="X90" s="214"/>
      <c r="Y90" s="214"/>
      <c r="Z90" s="214"/>
      <c r="AA90" s="214"/>
      <c r="AB90" s="214"/>
      <c r="AC90" s="214"/>
      <c r="AD90" s="214"/>
      <c r="AE90" s="214"/>
      <c r="AF90" s="214"/>
      <c r="AG90" s="214"/>
      <c r="AH90" s="214"/>
      <c r="AI90" s="214"/>
      <c r="AJ90" s="214"/>
      <c r="AK90" s="214"/>
      <c r="AL90" s="214"/>
      <c r="AM90" s="214"/>
      <c r="AN90" s="214"/>
      <c r="AO90" s="214"/>
      <c r="AP90" s="214"/>
      <c r="AQ90" s="214"/>
      <c r="AR90" s="214"/>
      <c r="AS90" s="214"/>
      <c r="AT90" s="214"/>
      <c r="AU90" s="214"/>
      <c r="AV90" s="214"/>
      <c r="AW90" s="214"/>
      <c r="AX90" s="214"/>
      <c r="AY90" s="214"/>
      <c r="AZ90" s="214"/>
      <c r="BA90" s="214"/>
      <c r="BB90" s="214"/>
      <c r="BC90" s="214"/>
      <c r="BD90" s="214"/>
      <c r="BE90" s="214"/>
      <c r="BF90" s="214"/>
      <c r="BG90" s="214"/>
      <c r="BH90" s="214"/>
      <c r="BI90" s="214"/>
      <c r="BJ90" s="214"/>
      <c r="BK90" s="214"/>
      <c r="BL90" s="214"/>
      <c r="BM90" s="214"/>
      <c r="BN90" s="214"/>
      <c r="BO90" s="214"/>
      <c r="BP90" s="214"/>
      <c r="BQ90" s="214"/>
      <c r="BR90" s="214"/>
    </row>
    <row r="91" spans="1:70" s="182" customFormat="1" x14ac:dyDescent="0.2">
      <c r="A91" s="218"/>
      <c r="B91" s="218"/>
      <c r="C91" s="218"/>
      <c r="D91" s="218"/>
      <c r="E91" s="218"/>
      <c r="F91" s="218"/>
      <c r="G91" s="218" t="b">
        <f>NOT(ISBLANK(N_LV))</f>
        <v>1</v>
      </c>
      <c r="H91" s="221" t="str">
        <f>H33</f>
        <v>Number of rods</v>
      </c>
      <c r="I91" s="218"/>
      <c r="J91" s="218"/>
      <c r="K91" s="218"/>
      <c r="L91" s="218"/>
      <c r="M91" s="221"/>
      <c r="N91" s="218"/>
      <c r="O91" s="218"/>
      <c r="P91" s="218"/>
      <c r="Q91" s="218"/>
      <c r="R91" s="218"/>
      <c r="S91" s="218"/>
      <c r="T91" s="218"/>
      <c r="U91" s="215"/>
      <c r="V91" s="214"/>
      <c r="W91" s="214"/>
      <c r="X91" s="214"/>
      <c r="Y91" s="214"/>
      <c r="Z91" s="214"/>
      <c r="AA91" s="214"/>
      <c r="AB91" s="214"/>
      <c r="AC91" s="214"/>
      <c r="AD91" s="214"/>
      <c r="AE91" s="214"/>
      <c r="AF91" s="214"/>
      <c r="AG91" s="214"/>
      <c r="AH91" s="214"/>
      <c r="AI91" s="214"/>
      <c r="AJ91" s="214"/>
      <c r="AK91" s="214"/>
      <c r="AL91" s="214"/>
      <c r="AM91" s="214"/>
      <c r="AN91" s="214"/>
      <c r="AO91" s="214"/>
      <c r="AP91" s="214"/>
      <c r="AQ91" s="214"/>
      <c r="AR91" s="214"/>
      <c r="AS91" s="214"/>
      <c r="AT91" s="214"/>
      <c r="AU91" s="214"/>
      <c r="AV91" s="214"/>
      <c r="AW91" s="214"/>
      <c r="AX91" s="214"/>
      <c r="AY91" s="214"/>
      <c r="AZ91" s="214"/>
      <c r="BA91" s="214"/>
      <c r="BB91" s="214"/>
      <c r="BC91" s="214"/>
      <c r="BD91" s="214"/>
      <c r="BE91" s="214"/>
      <c r="BF91" s="214"/>
      <c r="BG91" s="214"/>
      <c r="BH91" s="214"/>
      <c r="BI91" s="214"/>
      <c r="BJ91" s="214"/>
      <c r="BK91" s="214"/>
      <c r="BL91" s="214"/>
      <c r="BM91" s="214"/>
      <c r="BN91" s="214"/>
      <c r="BO91" s="214"/>
      <c r="BP91" s="214"/>
      <c r="BQ91" s="214"/>
      <c r="BR91" s="214"/>
    </row>
    <row r="92" spans="1:70" s="182" customFormat="1" x14ac:dyDescent="0.2">
      <c r="A92" s="218"/>
      <c r="B92" s="218"/>
      <c r="C92" s="218"/>
      <c r="D92" s="218"/>
      <c r="E92" s="218"/>
      <c r="F92" s="218"/>
      <c r="G92" s="218" t="b">
        <f>AND(NOT(ISBLANK(designer_name)),NOT(ISBLANK(ZS)))</f>
        <v>0</v>
      </c>
      <c r="H92" s="221" t="str">
        <f>C9</f>
        <v>Designed by:</v>
      </c>
      <c r="I92" s="218"/>
      <c r="J92" s="218"/>
      <c r="K92" s="218"/>
      <c r="L92" s="218"/>
      <c r="M92" s="218"/>
      <c r="N92" s="218"/>
      <c r="O92" s="218"/>
      <c r="P92" s="218"/>
      <c r="Q92" s="218"/>
      <c r="R92" s="218"/>
      <c r="S92" s="218"/>
      <c r="T92" s="218"/>
      <c r="U92" s="215"/>
      <c r="V92" s="214"/>
      <c r="W92" s="214"/>
      <c r="X92" s="214"/>
      <c r="Y92" s="214"/>
      <c r="Z92" s="214"/>
      <c r="AA92" s="214"/>
      <c r="AB92" s="214"/>
      <c r="AC92" s="214"/>
      <c r="AD92" s="214"/>
      <c r="AE92" s="214"/>
      <c r="AF92" s="214"/>
      <c r="AG92" s="214"/>
      <c r="AH92" s="214"/>
      <c r="AI92" s="214"/>
      <c r="AJ92" s="214"/>
      <c r="AK92" s="214"/>
      <c r="AL92" s="214"/>
      <c r="AM92" s="214"/>
      <c r="AN92" s="214"/>
      <c r="AO92" s="214"/>
      <c r="AP92" s="214"/>
      <c r="AQ92" s="214"/>
      <c r="AR92" s="214"/>
      <c r="AS92" s="214"/>
      <c r="AT92" s="214"/>
      <c r="AU92" s="214"/>
      <c r="AV92" s="214"/>
      <c r="AW92" s="214"/>
      <c r="AX92" s="214"/>
      <c r="AY92" s="214"/>
      <c r="AZ92" s="214"/>
      <c r="BA92" s="214"/>
      <c r="BB92" s="214"/>
      <c r="BC92" s="214"/>
      <c r="BD92" s="214"/>
      <c r="BE92" s="214"/>
      <c r="BF92" s="214"/>
      <c r="BG92" s="214"/>
      <c r="BH92" s="214"/>
      <c r="BI92" s="214"/>
      <c r="BJ92" s="214"/>
      <c r="BK92" s="214"/>
      <c r="BL92" s="214"/>
      <c r="BM92" s="214"/>
      <c r="BN92" s="214"/>
      <c r="BO92" s="214"/>
      <c r="BP92" s="214"/>
      <c r="BQ92" s="214"/>
      <c r="BR92" s="214"/>
    </row>
    <row r="93" spans="1:70" s="182" customFormat="1" x14ac:dyDescent="0.2">
      <c r="A93" s="218"/>
      <c r="B93" s="218"/>
      <c r="C93" s="218"/>
      <c r="D93" s="218"/>
      <c r="E93" s="218"/>
      <c r="F93" s="218" t="b">
        <f>AND(F71:F90)</f>
        <v>0</v>
      </c>
      <c r="G93" s="218" t="b">
        <f>AND(G71:G92)</f>
        <v>0</v>
      </c>
      <c r="H93" s="218"/>
      <c r="I93" s="218"/>
      <c r="J93" s="218"/>
      <c r="K93" s="218"/>
      <c r="L93" s="218" t="b">
        <f>AND(L71:L90)</f>
        <v>0</v>
      </c>
      <c r="M93" s="218"/>
      <c r="N93" s="218"/>
      <c r="O93" s="218"/>
      <c r="P93" s="218"/>
      <c r="Q93" s="218"/>
      <c r="R93" s="218"/>
      <c r="S93" s="218"/>
      <c r="T93" s="218"/>
      <c r="U93" s="215"/>
      <c r="V93" s="214"/>
      <c r="W93" s="214"/>
      <c r="X93" s="214"/>
      <c r="Y93" s="214"/>
      <c r="Z93" s="214"/>
      <c r="AA93" s="214"/>
      <c r="AB93" s="214"/>
      <c r="AC93" s="214"/>
      <c r="AD93" s="214"/>
      <c r="AE93" s="214"/>
      <c r="AF93" s="214"/>
      <c r="AG93" s="214"/>
      <c r="AH93" s="214"/>
      <c r="AI93" s="214"/>
      <c r="AJ93" s="214"/>
      <c r="AK93" s="214"/>
      <c r="AL93" s="214"/>
      <c r="AM93" s="214"/>
      <c r="AN93" s="214"/>
      <c r="AO93" s="214"/>
      <c r="AP93" s="214"/>
      <c r="AQ93" s="214"/>
      <c r="AR93" s="214"/>
      <c r="AS93" s="214"/>
      <c r="AT93" s="214"/>
      <c r="AU93" s="214"/>
      <c r="AV93" s="214"/>
      <c r="AW93" s="214"/>
      <c r="AX93" s="214"/>
      <c r="AY93" s="214"/>
      <c r="AZ93" s="214"/>
      <c r="BA93" s="214"/>
      <c r="BB93" s="214"/>
      <c r="BC93" s="214"/>
      <c r="BD93" s="214"/>
      <c r="BE93" s="214"/>
      <c r="BF93" s="214"/>
      <c r="BG93" s="214"/>
      <c r="BH93" s="214"/>
      <c r="BI93" s="214"/>
      <c r="BJ93" s="214"/>
      <c r="BK93" s="214"/>
      <c r="BL93" s="214"/>
      <c r="BM93" s="214"/>
      <c r="BN93" s="214"/>
      <c r="BO93" s="214"/>
      <c r="BP93" s="214"/>
      <c r="BQ93" s="214"/>
      <c r="BR93" s="214"/>
    </row>
    <row r="94" spans="1:70" s="182" customFormat="1" x14ac:dyDescent="0.2">
      <c r="A94" s="218"/>
      <c r="B94" s="218"/>
      <c r="C94" s="218"/>
      <c r="D94" s="218"/>
      <c r="E94" s="218"/>
      <c r="F94" s="218" t="b">
        <f>IF(ef_settings_used="User Defined",AND(config="Common",AND(F93,G105)),AND(config="Common",F93))</f>
        <v>0</v>
      </c>
      <c r="G94" s="218" t="b">
        <f>IF(ef_settings_used="User Defined",AND(config="Separate",AND(G93,G105)),AND(config="Separate", G93))</f>
        <v>0</v>
      </c>
      <c r="H94" s="218"/>
      <c r="I94" s="218"/>
      <c r="J94" s="218"/>
      <c r="K94" s="218"/>
      <c r="L94" s="218" t="b">
        <f>IF(ef_settings_used="User Defined",AND(config="Separate",AND(L93,G105)),AND(config="Separate", L93))</f>
        <v>0</v>
      </c>
      <c r="M94" s="218"/>
      <c r="N94" s="218"/>
      <c r="O94" s="218"/>
      <c r="P94" s="218"/>
      <c r="Q94" s="218"/>
      <c r="R94" s="218"/>
      <c r="S94" s="218"/>
      <c r="T94" s="218"/>
      <c r="U94" s="215"/>
      <c r="V94" s="214"/>
      <c r="W94" s="214"/>
      <c r="X94" s="214"/>
      <c r="Y94" s="214"/>
      <c r="Z94" s="214"/>
      <c r="AA94" s="214"/>
      <c r="AB94" s="214"/>
      <c r="AC94" s="214"/>
      <c r="AD94" s="214"/>
      <c r="AE94" s="214"/>
      <c r="AF94" s="214"/>
      <c r="AG94" s="214"/>
      <c r="AH94" s="214"/>
      <c r="AI94" s="214"/>
      <c r="AJ94" s="214"/>
      <c r="AK94" s="214"/>
      <c r="AL94" s="214"/>
      <c r="AM94" s="214"/>
      <c r="AN94" s="214"/>
      <c r="AO94" s="214"/>
      <c r="AP94" s="214"/>
      <c r="AQ94" s="214"/>
      <c r="AR94" s="214"/>
      <c r="AS94" s="214"/>
      <c r="AT94" s="214"/>
      <c r="AU94" s="214"/>
      <c r="AV94" s="214"/>
      <c r="AW94" s="214"/>
      <c r="AX94" s="214"/>
      <c r="AY94" s="214"/>
      <c r="AZ94" s="214"/>
      <c r="BA94" s="214"/>
      <c r="BB94" s="214"/>
      <c r="BC94" s="214"/>
      <c r="BD94" s="214"/>
      <c r="BE94" s="214"/>
      <c r="BF94" s="214"/>
      <c r="BG94" s="214"/>
      <c r="BH94" s="214"/>
      <c r="BI94" s="214"/>
      <c r="BJ94" s="214"/>
      <c r="BK94" s="214"/>
      <c r="BL94" s="214"/>
      <c r="BM94" s="214"/>
      <c r="BN94" s="214"/>
      <c r="BO94" s="214"/>
      <c r="BP94" s="214"/>
      <c r="BQ94" s="214"/>
      <c r="BR94" s="214"/>
    </row>
    <row r="95" spans="1:70" s="182" customFormat="1" x14ac:dyDescent="0.2">
      <c r="A95" s="218"/>
      <c r="B95" s="218"/>
      <c r="C95" s="218"/>
      <c r="D95" s="218"/>
      <c r="E95" s="218"/>
      <c r="F95" s="218"/>
      <c r="G95" s="218" t="b">
        <f>IF(config="Separate",G94,F94)</f>
        <v>0</v>
      </c>
      <c r="H95" s="218"/>
      <c r="I95" s="218"/>
      <c r="J95" s="218"/>
      <c r="K95" s="218"/>
      <c r="L95" s="218" t="b">
        <f>IF(config="Separate",L94,F94)</f>
        <v>0</v>
      </c>
      <c r="M95" s="218"/>
      <c r="N95" s="218"/>
      <c r="O95" s="218"/>
      <c r="P95" s="218"/>
      <c r="Q95" s="218"/>
      <c r="R95" s="218"/>
      <c r="S95" s="218"/>
      <c r="T95" s="218"/>
      <c r="U95" s="215"/>
      <c r="V95" s="214"/>
      <c r="W95" s="214"/>
      <c r="X95" s="214"/>
      <c r="Y95" s="214"/>
      <c r="Z95" s="214"/>
      <c r="AA95" s="214"/>
      <c r="AB95" s="214"/>
      <c r="AC95" s="214"/>
      <c r="AD95" s="214"/>
      <c r="AE95" s="214"/>
      <c r="AF95" s="214"/>
      <c r="AG95" s="214"/>
      <c r="AH95" s="214"/>
      <c r="AI95" s="214"/>
      <c r="AJ95" s="214"/>
      <c r="AK95" s="214"/>
      <c r="AL95" s="214"/>
      <c r="AM95" s="214"/>
      <c r="AN95" s="214"/>
      <c r="AO95" s="214"/>
      <c r="AP95" s="214"/>
      <c r="AQ95" s="214"/>
      <c r="AR95" s="214"/>
      <c r="AS95" s="214"/>
      <c r="AT95" s="214"/>
      <c r="AU95" s="214"/>
      <c r="AV95" s="214"/>
      <c r="AW95" s="214"/>
      <c r="AX95" s="214"/>
      <c r="AY95" s="214"/>
      <c r="AZ95" s="214"/>
      <c r="BA95" s="214"/>
      <c r="BB95" s="214"/>
      <c r="BC95" s="214"/>
      <c r="BD95" s="214"/>
      <c r="BE95" s="214"/>
      <c r="BF95" s="214"/>
      <c r="BG95" s="214"/>
      <c r="BH95" s="214"/>
      <c r="BI95" s="214"/>
      <c r="BJ95" s="214"/>
      <c r="BK95" s="214"/>
      <c r="BL95" s="214"/>
      <c r="BM95" s="214"/>
      <c r="BN95" s="214"/>
      <c r="BO95" s="214"/>
      <c r="BP95" s="214"/>
      <c r="BQ95" s="214"/>
      <c r="BR95" s="214"/>
    </row>
    <row r="96" spans="1:70" s="182" customFormat="1" x14ac:dyDescent="0.2">
      <c r="A96" s="218"/>
      <c r="B96" s="218"/>
      <c r="C96" s="218"/>
      <c r="D96" s="218"/>
      <c r="E96" s="218"/>
      <c r="F96" s="218"/>
      <c r="G96" s="218"/>
      <c r="H96" s="218"/>
      <c r="I96" s="218"/>
      <c r="J96" s="218"/>
      <c r="K96" s="218"/>
      <c r="L96" s="218"/>
      <c r="M96" s="218"/>
      <c r="N96" s="218"/>
      <c r="O96" s="218"/>
      <c r="P96" s="218"/>
      <c r="Q96" s="218"/>
      <c r="R96" s="218"/>
      <c r="S96" s="218"/>
      <c r="T96" s="218"/>
      <c r="U96" s="215"/>
      <c r="V96" s="214"/>
      <c r="W96" s="214"/>
      <c r="X96" s="214"/>
      <c r="Y96" s="214"/>
      <c r="Z96" s="214"/>
      <c r="AA96" s="214"/>
      <c r="AB96" s="214"/>
      <c r="AC96" s="214"/>
      <c r="AD96" s="214"/>
      <c r="AE96" s="214"/>
      <c r="AF96" s="214"/>
      <c r="AG96" s="214"/>
      <c r="AH96" s="214"/>
      <c r="AI96" s="214"/>
      <c r="AJ96" s="214"/>
      <c r="AK96" s="214"/>
      <c r="AL96" s="214"/>
      <c r="AM96" s="214"/>
      <c r="AN96" s="214"/>
      <c r="AO96" s="214"/>
      <c r="AP96" s="214"/>
      <c r="AQ96" s="214"/>
      <c r="AR96" s="214"/>
      <c r="AS96" s="214"/>
      <c r="AT96" s="214"/>
      <c r="AU96" s="214"/>
      <c r="AV96" s="214"/>
      <c r="AW96" s="214"/>
      <c r="AX96" s="214"/>
      <c r="AY96" s="214"/>
      <c r="AZ96" s="214"/>
      <c r="BA96" s="214"/>
      <c r="BB96" s="214"/>
      <c r="BC96" s="214"/>
      <c r="BD96" s="214"/>
      <c r="BE96" s="214"/>
      <c r="BF96" s="214"/>
      <c r="BG96" s="214"/>
      <c r="BH96" s="214"/>
      <c r="BI96" s="214"/>
      <c r="BJ96" s="214"/>
      <c r="BK96" s="214"/>
      <c r="BL96" s="214"/>
      <c r="BM96" s="214"/>
      <c r="BN96" s="214"/>
      <c r="BO96" s="214"/>
      <c r="BP96" s="214"/>
      <c r="BQ96" s="214"/>
      <c r="BR96" s="214"/>
    </row>
    <row r="97" spans="1:70" s="182" customFormat="1" x14ac:dyDescent="0.2">
      <c r="A97" s="218"/>
      <c r="B97" s="218"/>
      <c r="C97" s="218"/>
      <c r="D97" s="218"/>
      <c r="E97" s="218"/>
      <c r="F97" s="218"/>
      <c r="G97" s="218"/>
      <c r="H97" s="218"/>
      <c r="I97" s="218"/>
      <c r="J97" s="218"/>
      <c r="K97" s="218"/>
      <c r="L97" s="218"/>
      <c r="M97" s="218"/>
      <c r="N97" s="218"/>
      <c r="O97" s="218"/>
      <c r="P97" s="218"/>
      <c r="Q97" s="218"/>
      <c r="R97" s="218"/>
      <c r="S97" s="218"/>
      <c r="T97" s="218"/>
      <c r="U97" s="215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/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4"/>
      <c r="AU97" s="214"/>
      <c r="AV97" s="214"/>
      <c r="AW97" s="214"/>
      <c r="AX97" s="214"/>
      <c r="AY97" s="214"/>
      <c r="AZ97" s="214"/>
      <c r="BA97" s="214"/>
      <c r="BB97" s="214"/>
      <c r="BC97" s="214"/>
      <c r="BD97" s="214"/>
      <c r="BE97" s="214"/>
      <c r="BF97" s="214"/>
      <c r="BG97" s="214"/>
      <c r="BH97" s="214"/>
      <c r="BI97" s="214"/>
      <c r="BJ97" s="214"/>
      <c r="BK97" s="214"/>
      <c r="BL97" s="214"/>
      <c r="BM97" s="214"/>
      <c r="BN97" s="214"/>
      <c r="BO97" s="214"/>
      <c r="BP97" s="214"/>
      <c r="BQ97" s="214"/>
      <c r="BR97" s="214"/>
    </row>
    <row r="98" spans="1:70" s="182" customFormat="1" x14ac:dyDescent="0.2">
      <c r="A98" s="218"/>
      <c r="B98" s="218"/>
      <c r="C98" s="218"/>
      <c r="D98" s="218"/>
      <c r="E98" s="218"/>
      <c r="F98" s="218" t="b">
        <f>IF(ef_settings_used="User Defined",AND(config="Common",AND(F93,G105)),AND(config="Common",F93))</f>
        <v>0</v>
      </c>
      <c r="G98" s="218" t="b">
        <f>AND(NOT(ISBLANK(SEF_YN)),NOT(ISBLANK(SEF_User)))</f>
        <v>0</v>
      </c>
      <c r="H98" s="221" t="str">
        <f>H21</f>
        <v>Sensitive earth fault protection available?</v>
      </c>
      <c r="I98" s="218"/>
      <c r="J98" s="218"/>
      <c r="K98" s="218"/>
      <c r="L98" s="218"/>
      <c r="M98" s="218"/>
      <c r="N98" s="218"/>
      <c r="O98" s="218"/>
      <c r="P98" s="218"/>
      <c r="Q98" s="218"/>
      <c r="R98" s="218"/>
      <c r="S98" s="218"/>
      <c r="T98" s="218"/>
      <c r="U98" s="215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4"/>
      <c r="AU98" s="214"/>
      <c r="AV98" s="214"/>
      <c r="AW98" s="214"/>
      <c r="AX98" s="214"/>
      <c r="AY98" s="214"/>
      <c r="AZ98" s="214"/>
      <c r="BA98" s="214"/>
      <c r="BB98" s="214"/>
      <c r="BC98" s="214"/>
      <c r="BD98" s="214"/>
      <c r="BE98" s="214"/>
      <c r="BF98" s="214"/>
      <c r="BG98" s="214"/>
      <c r="BH98" s="214"/>
      <c r="BI98" s="214"/>
      <c r="BJ98" s="214"/>
      <c r="BK98" s="214"/>
      <c r="BL98" s="214"/>
      <c r="BM98" s="214"/>
      <c r="BN98" s="214"/>
      <c r="BO98" s="214"/>
      <c r="BP98" s="214"/>
      <c r="BQ98" s="214"/>
      <c r="BR98" s="214"/>
    </row>
    <row r="99" spans="1:70" s="182" customFormat="1" x14ac:dyDescent="0.2">
      <c r="A99" s="218"/>
      <c r="B99" s="218"/>
      <c r="C99" s="218"/>
      <c r="D99" s="218"/>
      <c r="E99" s="218"/>
      <c r="F99" s="218"/>
      <c r="G99" s="218" t="b">
        <f>NOT(ISBLANK(EF_pickup))</f>
        <v>1</v>
      </c>
      <c r="H99" s="221" t="str">
        <f>H22</f>
        <v>EF Pickup (A)</v>
      </c>
      <c r="I99" s="218"/>
      <c r="J99" s="218"/>
      <c r="K99" s="218"/>
      <c r="L99" s="218"/>
      <c r="M99" s="218"/>
      <c r="N99" s="218"/>
      <c r="O99" s="218"/>
      <c r="P99" s="218"/>
      <c r="Q99" s="218"/>
      <c r="R99" s="218"/>
      <c r="S99" s="218"/>
      <c r="T99" s="218"/>
      <c r="U99" s="215"/>
      <c r="V99" s="214"/>
      <c r="W99" s="214"/>
      <c r="X99" s="214"/>
      <c r="Y99" s="214"/>
      <c r="Z99" s="214"/>
      <c r="AA99" s="214"/>
      <c r="AB99" s="214"/>
      <c r="AC99" s="214"/>
      <c r="AD99" s="214"/>
      <c r="AE99" s="214"/>
      <c r="AF99" s="214"/>
      <c r="AG99" s="214"/>
      <c r="AH99" s="214"/>
      <c r="AI99" s="214"/>
      <c r="AJ99" s="214"/>
      <c r="AK99" s="214"/>
      <c r="AL99" s="214"/>
      <c r="AM99" s="214"/>
      <c r="AN99" s="214"/>
      <c r="AO99" s="214"/>
      <c r="AP99" s="214"/>
      <c r="AQ99" s="214"/>
      <c r="AR99" s="214"/>
      <c r="AS99" s="214"/>
      <c r="AT99" s="214"/>
      <c r="AU99" s="214"/>
      <c r="AV99" s="214"/>
      <c r="AW99" s="214"/>
      <c r="AX99" s="214"/>
      <c r="AY99" s="214"/>
      <c r="AZ99" s="214"/>
      <c r="BA99" s="214"/>
      <c r="BB99" s="214"/>
      <c r="BC99" s="214"/>
      <c r="BD99" s="214"/>
      <c r="BE99" s="214"/>
      <c r="BF99" s="214"/>
      <c r="BG99" s="214"/>
      <c r="BH99" s="214"/>
      <c r="BI99" s="214"/>
      <c r="BJ99" s="214"/>
      <c r="BK99" s="214"/>
      <c r="BL99" s="214"/>
      <c r="BM99" s="214"/>
      <c r="BN99" s="214"/>
      <c r="BO99" s="214"/>
      <c r="BP99" s="214"/>
      <c r="BQ99" s="214"/>
      <c r="BR99" s="214"/>
    </row>
    <row r="100" spans="1:70" s="182" customFormat="1" x14ac:dyDescent="0.2">
      <c r="A100" s="218"/>
      <c r="B100" s="218"/>
      <c r="C100" s="218"/>
      <c r="D100" s="218"/>
      <c r="E100" s="218"/>
      <c r="F100" s="218"/>
      <c r="G100" s="218" t="b">
        <f>NOT(ISBLANK(EF_TL))</f>
        <v>1</v>
      </c>
      <c r="H100" s="221" t="str">
        <f>H23</f>
        <v>IEC Time Lever</v>
      </c>
      <c r="I100" s="218"/>
      <c r="J100" s="218"/>
      <c r="K100" s="218"/>
      <c r="L100" s="218"/>
      <c r="M100" s="218"/>
      <c r="N100" s="218"/>
      <c r="O100" s="218"/>
      <c r="P100" s="218"/>
      <c r="Q100" s="218"/>
      <c r="R100" s="218"/>
      <c r="S100" s="218"/>
      <c r="T100" s="218"/>
      <c r="U100" s="215"/>
      <c r="V100" s="214"/>
      <c r="W100" s="214"/>
      <c r="X100" s="214"/>
      <c r="Y100" s="214"/>
      <c r="Z100" s="214"/>
      <c r="AA100" s="214"/>
      <c r="AB100" s="214"/>
      <c r="AC100" s="214"/>
      <c r="AD100" s="214"/>
      <c r="AE100" s="214"/>
      <c r="AF100" s="214"/>
      <c r="AG100" s="214"/>
      <c r="AH100" s="214"/>
      <c r="AI100" s="214"/>
      <c r="AJ100" s="214"/>
      <c r="AK100" s="214"/>
      <c r="AL100" s="214"/>
      <c r="AM100" s="214"/>
      <c r="AN100" s="214"/>
      <c r="AO100" s="214"/>
      <c r="AP100" s="214"/>
      <c r="AQ100" s="214"/>
      <c r="AR100" s="214"/>
      <c r="AS100" s="214"/>
      <c r="AT100" s="214"/>
      <c r="AU100" s="214"/>
      <c r="AV100" s="214"/>
      <c r="AW100" s="214"/>
      <c r="AX100" s="214"/>
      <c r="AY100" s="214"/>
      <c r="AZ100" s="214"/>
      <c r="BA100" s="214"/>
      <c r="BB100" s="214"/>
      <c r="BC100" s="214"/>
      <c r="BD100" s="214"/>
      <c r="BE100" s="214"/>
      <c r="BF100" s="214"/>
      <c r="BG100" s="214"/>
      <c r="BH100" s="214"/>
      <c r="BI100" s="214"/>
      <c r="BJ100" s="214"/>
      <c r="BK100" s="214"/>
      <c r="BL100" s="214"/>
      <c r="BM100" s="214"/>
      <c r="BN100" s="214"/>
      <c r="BO100" s="214"/>
      <c r="BP100" s="214"/>
      <c r="BQ100" s="214"/>
      <c r="BR100" s="214"/>
    </row>
    <row r="101" spans="1:70" s="182" customFormat="1" x14ac:dyDescent="0.2">
      <c r="A101" s="218"/>
      <c r="B101" s="218"/>
      <c r="C101" s="218"/>
      <c r="D101" s="218"/>
      <c r="E101" s="218"/>
      <c r="F101" s="218"/>
      <c r="G101" s="218" t="b">
        <f>NOT(ISBLANK(EF_curve))</f>
        <v>1</v>
      </c>
      <c r="H101" s="221" t="str">
        <f>H27</f>
        <v>Protection Curve</v>
      </c>
      <c r="I101" s="218"/>
      <c r="J101" s="218"/>
      <c r="K101" s="218"/>
      <c r="L101" s="218"/>
      <c r="M101" s="218"/>
      <c r="N101" s="218"/>
      <c r="O101" s="218"/>
      <c r="P101" s="218"/>
      <c r="Q101" s="218"/>
      <c r="R101" s="218"/>
      <c r="S101" s="218"/>
      <c r="T101" s="218"/>
      <c r="U101" s="215"/>
      <c r="V101" s="214"/>
      <c r="W101" s="214"/>
      <c r="X101" s="214"/>
      <c r="Y101" s="214"/>
      <c r="Z101" s="214"/>
      <c r="AA101" s="214"/>
      <c r="AB101" s="214"/>
      <c r="AC101" s="214"/>
      <c r="AD101" s="214"/>
      <c r="AE101" s="214"/>
      <c r="AF101" s="214"/>
      <c r="AG101" s="214"/>
      <c r="AH101" s="214"/>
      <c r="AI101" s="214"/>
      <c r="AJ101" s="214"/>
      <c r="AK101" s="214"/>
      <c r="AL101" s="214"/>
      <c r="AM101" s="214"/>
      <c r="AN101" s="214"/>
      <c r="AO101" s="214"/>
      <c r="AP101" s="214"/>
      <c r="AQ101" s="214"/>
      <c r="AR101" s="214"/>
      <c r="AS101" s="214"/>
      <c r="AT101" s="214"/>
      <c r="AU101" s="214"/>
      <c r="AV101" s="214"/>
      <c r="AW101" s="214"/>
      <c r="AX101" s="214"/>
      <c r="AY101" s="214"/>
      <c r="AZ101" s="214"/>
      <c r="BA101" s="214"/>
      <c r="BB101" s="214"/>
      <c r="BC101" s="214"/>
      <c r="BD101" s="214"/>
      <c r="BE101" s="214"/>
      <c r="BF101" s="214"/>
      <c r="BG101" s="214"/>
      <c r="BH101" s="214"/>
      <c r="BI101" s="214"/>
      <c r="BJ101" s="214"/>
      <c r="BK101" s="214"/>
      <c r="BL101" s="214"/>
      <c r="BM101" s="214"/>
      <c r="BN101" s="214"/>
      <c r="BO101" s="214"/>
      <c r="BP101" s="214"/>
      <c r="BQ101" s="214"/>
      <c r="BR101" s="214"/>
    </row>
    <row r="102" spans="1:70" s="182" customFormat="1" x14ac:dyDescent="0.2">
      <c r="A102" s="218"/>
      <c r="B102" s="218"/>
      <c r="C102" s="218"/>
      <c r="D102" s="218"/>
      <c r="E102" s="218"/>
      <c r="F102" s="218"/>
      <c r="G102" s="218" t="b">
        <f>IF(HiSetStatus="Yes",(AND(NOT(ISBLANK(HiSetTime)),NOT(ISBLANK(IEF)))),TRUE)</f>
        <v>1</v>
      </c>
      <c r="H102" s="221" t="str">
        <f>H24</f>
        <v xml:space="preserve">Hi-set (Y/N) </v>
      </c>
      <c r="I102" s="218"/>
      <c r="J102" s="218"/>
      <c r="K102" s="218"/>
      <c r="L102" s="218"/>
      <c r="M102" s="218"/>
      <c r="N102" s="218"/>
      <c r="O102" s="218"/>
      <c r="P102" s="218"/>
      <c r="Q102" s="218"/>
      <c r="R102" s="218"/>
      <c r="S102" s="218"/>
      <c r="T102" s="218"/>
      <c r="U102" s="215"/>
      <c r="V102" s="214"/>
      <c r="W102" s="214"/>
      <c r="X102" s="214"/>
      <c r="Y102" s="214"/>
      <c r="Z102" s="214"/>
      <c r="AA102" s="214"/>
      <c r="AB102" s="214"/>
      <c r="AC102" s="214"/>
      <c r="AD102" s="214"/>
      <c r="AE102" s="214"/>
      <c r="AF102" s="214"/>
      <c r="AG102" s="214"/>
      <c r="AH102" s="214"/>
      <c r="AI102" s="214"/>
      <c r="AJ102" s="214"/>
      <c r="AK102" s="214"/>
      <c r="AL102" s="214"/>
      <c r="AM102" s="214"/>
      <c r="AN102" s="214"/>
      <c r="AO102" s="214"/>
      <c r="AP102" s="214"/>
      <c r="AQ102" s="214"/>
      <c r="AR102" s="214"/>
      <c r="AS102" s="214"/>
      <c r="AT102" s="214"/>
      <c r="AU102" s="214"/>
      <c r="AV102" s="214"/>
      <c r="AW102" s="214"/>
      <c r="AX102" s="214"/>
      <c r="AY102" s="214"/>
      <c r="AZ102" s="214"/>
      <c r="BA102" s="214"/>
      <c r="BB102" s="214"/>
      <c r="BC102" s="214"/>
      <c r="BD102" s="214"/>
      <c r="BE102" s="214"/>
      <c r="BF102" s="214"/>
      <c r="BG102" s="214"/>
      <c r="BH102" s="214"/>
      <c r="BI102" s="214"/>
      <c r="BJ102" s="214"/>
      <c r="BK102" s="214"/>
      <c r="BL102" s="214"/>
      <c r="BM102" s="214"/>
      <c r="BN102" s="214"/>
      <c r="BO102" s="214"/>
      <c r="BP102" s="214"/>
      <c r="BQ102" s="214"/>
      <c r="BR102" s="214"/>
    </row>
    <row r="103" spans="1:70" s="182" customFormat="1" x14ac:dyDescent="0.2">
      <c r="A103" s="218"/>
      <c r="B103" s="218"/>
      <c r="C103" s="218"/>
      <c r="D103" s="218"/>
      <c r="E103" s="218"/>
      <c r="F103" s="218"/>
      <c r="G103" s="218" t="b">
        <f>IF(AddTimeStatus="Yes",NOT(ISBLANK(AddTime)),TRUE)</f>
        <v>1</v>
      </c>
      <c r="H103" s="221" t="str">
        <f>H26</f>
        <v>Time Margin (Y/N)</v>
      </c>
      <c r="I103" s="218"/>
      <c r="J103" s="218"/>
      <c r="K103" s="218"/>
      <c r="L103" s="218"/>
      <c r="M103" s="218"/>
      <c r="N103" s="218"/>
      <c r="O103" s="218"/>
      <c r="P103" s="218"/>
      <c r="Q103" s="218"/>
      <c r="R103" s="218"/>
      <c r="S103" s="218"/>
      <c r="T103" s="218"/>
      <c r="U103" s="215"/>
      <c r="V103" s="214"/>
      <c r="W103" s="214"/>
      <c r="X103" s="214"/>
      <c r="Y103" s="214"/>
      <c r="Z103" s="214"/>
      <c r="AA103" s="214"/>
      <c r="AB103" s="214"/>
      <c r="AC103" s="214"/>
      <c r="AD103" s="214"/>
      <c r="AE103" s="214"/>
      <c r="AF103" s="214"/>
      <c r="AG103" s="214"/>
      <c r="AH103" s="214"/>
      <c r="AI103" s="214"/>
      <c r="AJ103" s="214"/>
      <c r="AK103" s="214"/>
      <c r="AL103" s="214"/>
      <c r="AM103" s="214"/>
      <c r="AN103" s="214"/>
      <c r="AO103" s="214"/>
      <c r="AP103" s="214"/>
      <c r="AQ103" s="214"/>
      <c r="AR103" s="214"/>
      <c r="AS103" s="214"/>
      <c r="AT103" s="214"/>
      <c r="AU103" s="214"/>
      <c r="AV103" s="214"/>
      <c r="AW103" s="214"/>
      <c r="AX103" s="214"/>
      <c r="AY103" s="214"/>
      <c r="AZ103" s="214"/>
      <c r="BA103" s="214"/>
      <c r="BB103" s="214"/>
      <c r="BC103" s="214"/>
      <c r="BD103" s="214"/>
      <c r="BE103" s="214"/>
      <c r="BF103" s="214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4"/>
      <c r="BQ103" s="214"/>
      <c r="BR103" s="214"/>
    </row>
    <row r="104" spans="1:70" s="182" customFormat="1" x14ac:dyDescent="0.2">
      <c r="A104" s="218"/>
      <c r="B104" s="218"/>
      <c r="C104" s="218"/>
      <c r="D104" s="218"/>
      <c r="E104" s="218"/>
      <c r="F104" s="218"/>
      <c r="G104" s="218"/>
      <c r="H104" s="221"/>
      <c r="I104" s="218"/>
      <c r="J104" s="218"/>
      <c r="K104" s="218"/>
      <c r="L104" s="218"/>
      <c r="M104" s="218"/>
      <c r="N104" s="218"/>
      <c r="O104" s="218"/>
      <c r="P104" s="218"/>
      <c r="Q104" s="218"/>
      <c r="R104" s="218"/>
      <c r="S104" s="218"/>
      <c r="T104" s="218"/>
      <c r="U104" s="215"/>
      <c r="V104" s="214"/>
      <c r="W104" s="214"/>
      <c r="X104" s="214"/>
      <c r="Y104" s="214"/>
      <c r="Z104" s="214"/>
      <c r="AA104" s="214"/>
      <c r="AB104" s="214"/>
      <c r="AC104" s="214"/>
      <c r="AD104" s="214"/>
      <c r="AE104" s="214"/>
      <c r="AF104" s="214"/>
      <c r="AG104" s="214"/>
      <c r="AH104" s="214"/>
      <c r="AI104" s="214"/>
      <c r="AJ104" s="214"/>
      <c r="AK104" s="214"/>
      <c r="AL104" s="214"/>
      <c r="AM104" s="214"/>
      <c r="AN104" s="214"/>
      <c r="AO104" s="214"/>
      <c r="AP104" s="214"/>
      <c r="AQ104" s="214"/>
      <c r="AR104" s="214"/>
      <c r="AS104" s="214"/>
      <c r="AT104" s="214"/>
      <c r="AU104" s="214"/>
      <c r="AV104" s="214"/>
      <c r="AW104" s="214"/>
      <c r="AX104" s="214"/>
      <c r="AY104" s="214"/>
      <c r="AZ104" s="214"/>
      <c r="BA104" s="214"/>
      <c r="BB104" s="214"/>
      <c r="BC104" s="214"/>
      <c r="BD104" s="214"/>
      <c r="BE104" s="214"/>
      <c r="BF104" s="214"/>
      <c r="BG104" s="214"/>
      <c r="BH104" s="214"/>
      <c r="BI104" s="214"/>
      <c r="BJ104" s="214"/>
      <c r="BK104" s="214"/>
      <c r="BL104" s="214"/>
      <c r="BM104" s="214"/>
      <c r="BN104" s="214"/>
      <c r="BO104" s="214"/>
      <c r="BP104" s="214"/>
      <c r="BQ104" s="214"/>
      <c r="BR104" s="214"/>
    </row>
    <row r="105" spans="1:70" s="182" customFormat="1" x14ac:dyDescent="0.2">
      <c r="A105" s="218"/>
      <c r="B105" s="218"/>
      <c r="C105" s="218"/>
      <c r="D105" s="218"/>
      <c r="E105" s="218"/>
      <c r="F105" s="218"/>
      <c r="G105" s="218" t="b">
        <f>AND(G98:G103)</f>
        <v>0</v>
      </c>
      <c r="H105" s="218"/>
      <c r="I105" s="218"/>
      <c r="J105" s="218"/>
      <c r="K105" s="218"/>
      <c r="L105" s="218"/>
      <c r="M105" s="218"/>
      <c r="N105" s="218"/>
      <c r="O105" s="218"/>
      <c r="P105" s="218"/>
      <c r="Q105" s="218"/>
      <c r="R105" s="218"/>
      <c r="S105" s="218"/>
      <c r="T105" s="218"/>
      <c r="U105" s="215"/>
      <c r="V105" s="214"/>
      <c r="W105" s="214"/>
      <c r="X105" s="214"/>
      <c r="Y105" s="214"/>
      <c r="Z105" s="214"/>
      <c r="AA105" s="214"/>
      <c r="AB105" s="214"/>
      <c r="AC105" s="214"/>
      <c r="AD105" s="214"/>
      <c r="AE105" s="214"/>
      <c r="AF105" s="214"/>
      <c r="AG105" s="214"/>
      <c r="AH105" s="214"/>
      <c r="AI105" s="214"/>
      <c r="AJ105" s="214"/>
      <c r="AK105" s="214"/>
      <c r="AL105" s="214"/>
      <c r="AM105" s="214"/>
      <c r="AN105" s="214"/>
      <c r="AO105" s="214"/>
      <c r="AP105" s="214"/>
      <c r="AQ105" s="214"/>
      <c r="AR105" s="214"/>
      <c r="AS105" s="214"/>
      <c r="AT105" s="214"/>
      <c r="AU105" s="214"/>
      <c r="AV105" s="214"/>
      <c r="AW105" s="214"/>
      <c r="AX105" s="214"/>
      <c r="AY105" s="214"/>
      <c r="AZ105" s="214"/>
      <c r="BA105" s="214"/>
      <c r="BB105" s="214"/>
      <c r="BC105" s="214"/>
      <c r="BD105" s="214"/>
      <c r="BE105" s="214"/>
      <c r="BF105" s="214"/>
      <c r="BG105" s="214"/>
      <c r="BH105" s="214"/>
      <c r="BI105" s="214"/>
      <c r="BJ105" s="214"/>
      <c r="BK105" s="214"/>
      <c r="BL105" s="214"/>
      <c r="BM105" s="214"/>
      <c r="BN105" s="214"/>
      <c r="BO105" s="214"/>
      <c r="BP105" s="214"/>
      <c r="BQ105" s="214"/>
      <c r="BR105" s="214"/>
    </row>
    <row r="106" spans="1:70" s="182" customFormat="1" x14ac:dyDescent="0.2">
      <c r="A106" s="218"/>
      <c r="B106" s="218"/>
      <c r="C106" s="218"/>
      <c r="D106" s="218"/>
      <c r="E106" s="218"/>
      <c r="F106" s="218"/>
      <c r="G106" s="218"/>
      <c r="H106" s="218"/>
      <c r="I106" s="218"/>
      <c r="J106" s="218"/>
      <c r="K106" s="218"/>
      <c r="L106" s="218"/>
      <c r="M106" s="218"/>
      <c r="N106" s="218"/>
      <c r="O106" s="218"/>
      <c r="P106" s="218"/>
      <c r="Q106" s="218"/>
      <c r="R106" s="218"/>
      <c r="S106" s="218"/>
      <c r="T106" s="218"/>
      <c r="U106" s="215"/>
      <c r="V106" s="214"/>
      <c r="W106" s="214"/>
      <c r="X106" s="214"/>
      <c r="Y106" s="214"/>
      <c r="Z106" s="214"/>
      <c r="AA106" s="214"/>
      <c r="AB106" s="214"/>
      <c r="AC106" s="214"/>
      <c r="AD106" s="214"/>
      <c r="AE106" s="214"/>
      <c r="AF106" s="214"/>
      <c r="AG106" s="214"/>
      <c r="AH106" s="214"/>
      <c r="AI106" s="214"/>
      <c r="AJ106" s="214"/>
      <c r="AK106" s="214"/>
      <c r="AL106" s="214"/>
      <c r="AM106" s="214"/>
      <c r="AN106" s="214"/>
      <c r="AO106" s="214"/>
      <c r="AP106" s="214"/>
      <c r="AQ106" s="214"/>
      <c r="AR106" s="214"/>
      <c r="AS106" s="214"/>
      <c r="AT106" s="214"/>
      <c r="AU106" s="214"/>
      <c r="AV106" s="214"/>
      <c r="AW106" s="214"/>
      <c r="AX106" s="214"/>
      <c r="AY106" s="214"/>
      <c r="AZ106" s="214"/>
      <c r="BA106" s="214"/>
      <c r="BB106" s="214"/>
      <c r="BC106" s="214"/>
      <c r="BD106" s="214"/>
      <c r="BE106" s="214"/>
      <c r="BF106" s="214"/>
      <c r="BG106" s="214"/>
      <c r="BH106" s="214"/>
      <c r="BI106" s="214"/>
      <c r="BJ106" s="214"/>
      <c r="BK106" s="214"/>
      <c r="BL106" s="214"/>
      <c r="BM106" s="214"/>
      <c r="BN106" s="214"/>
      <c r="BO106" s="214"/>
      <c r="BP106" s="214"/>
      <c r="BQ106" s="214"/>
      <c r="BR106" s="214"/>
    </row>
    <row r="107" spans="1:70" s="182" customFormat="1" ht="15" x14ac:dyDescent="0.2">
      <c r="A107" s="218"/>
      <c r="B107" s="218"/>
      <c r="C107" s="218"/>
      <c r="D107" s="218"/>
      <c r="E107" s="218"/>
      <c r="F107" s="218"/>
      <c r="G107" s="218"/>
      <c r="H107" s="218"/>
      <c r="I107" s="327"/>
      <c r="J107" s="218"/>
      <c r="K107" s="218"/>
      <c r="L107" s="218"/>
      <c r="M107" s="218"/>
      <c r="N107" s="218"/>
      <c r="O107" s="218"/>
      <c r="P107" s="218"/>
      <c r="Q107" s="218"/>
      <c r="R107" s="218"/>
      <c r="S107" s="218"/>
      <c r="T107" s="218"/>
      <c r="U107" s="215"/>
      <c r="V107" s="214"/>
      <c r="W107" s="214"/>
      <c r="X107" s="214"/>
      <c r="Y107" s="214"/>
      <c r="Z107" s="214"/>
      <c r="AA107" s="214"/>
      <c r="AB107" s="214"/>
      <c r="AC107" s="214"/>
      <c r="AD107" s="214"/>
      <c r="AE107" s="214"/>
      <c r="AF107" s="214"/>
      <c r="AG107" s="214"/>
      <c r="AH107" s="214"/>
      <c r="AI107" s="214"/>
      <c r="AJ107" s="214"/>
      <c r="AK107" s="214"/>
      <c r="AL107" s="214"/>
      <c r="AM107" s="214"/>
      <c r="AN107" s="214"/>
      <c r="AO107" s="214"/>
      <c r="AP107" s="214"/>
      <c r="AQ107" s="214"/>
      <c r="AR107" s="214"/>
      <c r="AS107" s="214"/>
      <c r="AT107" s="214"/>
      <c r="AU107" s="214"/>
      <c r="AV107" s="214"/>
      <c r="AW107" s="214"/>
      <c r="AX107" s="214"/>
      <c r="AY107" s="214"/>
      <c r="AZ107" s="214"/>
      <c r="BA107" s="214"/>
      <c r="BB107" s="214"/>
      <c r="BC107" s="214"/>
      <c r="BD107" s="214"/>
      <c r="BE107" s="214"/>
      <c r="BF107" s="214"/>
      <c r="BG107" s="214"/>
      <c r="BH107" s="214"/>
      <c r="BI107" s="214"/>
      <c r="BJ107" s="214"/>
      <c r="BK107" s="214"/>
      <c r="BL107" s="214"/>
      <c r="BM107" s="214"/>
      <c r="BN107" s="214"/>
      <c r="BO107" s="214"/>
      <c r="BP107" s="214"/>
      <c r="BQ107" s="214"/>
      <c r="BR107" s="214"/>
    </row>
    <row r="108" spans="1:70" s="182" customFormat="1" x14ac:dyDescent="0.2">
      <c r="A108" s="218"/>
      <c r="B108" s="218"/>
      <c r="C108" s="218"/>
      <c r="D108" s="218"/>
      <c r="E108" s="218"/>
      <c r="F108" s="218"/>
      <c r="G108" s="218"/>
      <c r="H108" s="218"/>
      <c r="I108" s="218"/>
      <c r="J108" s="218"/>
      <c r="K108" s="218"/>
      <c r="L108" s="218"/>
      <c r="M108" s="218"/>
      <c r="N108" s="218"/>
      <c r="O108" s="218"/>
      <c r="P108" s="218"/>
      <c r="Q108" s="218"/>
      <c r="R108" s="218"/>
      <c r="S108" s="218"/>
      <c r="T108" s="218"/>
      <c r="U108" s="215"/>
      <c r="V108" s="214"/>
      <c r="W108" s="214"/>
      <c r="X108" s="214"/>
      <c r="Y108" s="214"/>
      <c r="Z108" s="214"/>
      <c r="AA108" s="214"/>
      <c r="AB108" s="214"/>
      <c r="AC108" s="214"/>
      <c r="AD108" s="214"/>
      <c r="AE108" s="214"/>
      <c r="AF108" s="214"/>
      <c r="AG108" s="214"/>
      <c r="AH108" s="214"/>
      <c r="AI108" s="214"/>
      <c r="AJ108" s="214"/>
      <c r="AK108" s="214"/>
      <c r="AL108" s="214"/>
      <c r="AM108" s="214"/>
      <c r="AN108" s="214"/>
      <c r="AO108" s="214"/>
      <c r="AP108" s="214"/>
      <c r="AQ108" s="214"/>
      <c r="AR108" s="214"/>
      <c r="AS108" s="214"/>
      <c r="AT108" s="214"/>
      <c r="AU108" s="214"/>
      <c r="AV108" s="214"/>
      <c r="AW108" s="214"/>
      <c r="AX108" s="214"/>
      <c r="AY108" s="214"/>
      <c r="AZ108" s="214"/>
      <c r="BA108" s="214"/>
      <c r="BB108" s="214"/>
      <c r="BC108" s="214"/>
      <c r="BD108" s="214"/>
      <c r="BE108" s="214"/>
      <c r="BF108" s="214"/>
      <c r="BG108" s="214"/>
      <c r="BH108" s="214"/>
      <c r="BI108" s="214"/>
      <c r="BJ108" s="214"/>
      <c r="BK108" s="214"/>
      <c r="BL108" s="214"/>
      <c r="BM108" s="214"/>
      <c r="BN108" s="214"/>
      <c r="BO108" s="214"/>
      <c r="BP108" s="214"/>
      <c r="BQ108" s="214"/>
      <c r="BR108" s="214"/>
    </row>
    <row r="109" spans="1:70" s="182" customFormat="1" x14ac:dyDescent="0.2">
      <c r="A109" s="218"/>
      <c r="B109" s="218"/>
      <c r="C109" s="218"/>
      <c r="D109" s="218"/>
      <c r="E109" s="218"/>
      <c r="F109" s="218"/>
      <c r="G109" s="218"/>
      <c r="H109" s="218"/>
      <c r="I109" s="218"/>
      <c r="J109" s="218"/>
      <c r="K109" s="218"/>
      <c r="L109" s="218"/>
      <c r="M109" s="218"/>
      <c r="N109" s="218"/>
      <c r="O109" s="218"/>
      <c r="P109" s="218"/>
      <c r="Q109" s="218"/>
      <c r="R109" s="218"/>
      <c r="S109" s="218"/>
      <c r="T109" s="218"/>
      <c r="U109" s="215"/>
      <c r="V109" s="214"/>
      <c r="W109" s="214"/>
      <c r="X109" s="214"/>
      <c r="Y109" s="214"/>
      <c r="Z109" s="214"/>
      <c r="AA109" s="214"/>
      <c r="AB109" s="214"/>
      <c r="AC109" s="214"/>
      <c r="AD109" s="214"/>
      <c r="AE109" s="214"/>
      <c r="AF109" s="214"/>
      <c r="AG109" s="214"/>
      <c r="AH109" s="214"/>
      <c r="AI109" s="214"/>
      <c r="AJ109" s="214"/>
      <c r="AK109" s="214"/>
      <c r="AL109" s="214"/>
      <c r="AM109" s="214"/>
      <c r="AN109" s="214"/>
      <c r="AO109" s="214"/>
      <c r="AP109" s="214"/>
      <c r="AQ109" s="214"/>
      <c r="AR109" s="214"/>
      <c r="AS109" s="214"/>
      <c r="AT109" s="214"/>
      <c r="AU109" s="214"/>
      <c r="AV109" s="214"/>
      <c r="AW109" s="214"/>
      <c r="AX109" s="214"/>
      <c r="AY109" s="214"/>
      <c r="AZ109" s="214"/>
      <c r="BA109" s="214"/>
      <c r="BB109" s="214"/>
      <c r="BC109" s="214"/>
      <c r="BD109" s="214"/>
      <c r="BE109" s="214"/>
      <c r="BF109" s="214"/>
      <c r="BG109" s="214"/>
      <c r="BH109" s="214"/>
      <c r="BI109" s="214"/>
      <c r="BJ109" s="214"/>
      <c r="BK109" s="214"/>
      <c r="BL109" s="214"/>
      <c r="BM109" s="214"/>
      <c r="BN109" s="214"/>
      <c r="BO109" s="214"/>
      <c r="BP109" s="214"/>
      <c r="BQ109" s="214"/>
      <c r="BR109" s="214"/>
    </row>
    <row r="110" spans="1:70" s="182" customFormat="1" x14ac:dyDescent="0.2">
      <c r="A110" s="218"/>
      <c r="B110" s="218"/>
      <c r="C110" s="218"/>
      <c r="D110" s="218"/>
      <c r="E110" s="218"/>
      <c r="F110" s="218"/>
      <c r="G110" s="218"/>
      <c r="H110" s="218"/>
      <c r="I110" s="218"/>
      <c r="J110" s="218"/>
      <c r="K110" s="218"/>
      <c r="L110" s="218"/>
      <c r="M110" s="218"/>
      <c r="N110" s="218"/>
      <c r="O110" s="218"/>
      <c r="P110" s="218"/>
      <c r="Q110" s="218"/>
      <c r="R110" s="218"/>
      <c r="S110" s="218"/>
      <c r="T110" s="218"/>
      <c r="U110" s="215"/>
      <c r="V110" s="214"/>
      <c r="W110" s="214"/>
      <c r="X110" s="214"/>
      <c r="Y110" s="214"/>
      <c r="Z110" s="214"/>
      <c r="AA110" s="214"/>
      <c r="AB110" s="214"/>
      <c r="AC110" s="214"/>
      <c r="AD110" s="214"/>
      <c r="AE110" s="214"/>
      <c r="AF110" s="214"/>
      <c r="AG110" s="214"/>
      <c r="AH110" s="214"/>
      <c r="AI110" s="214"/>
      <c r="AJ110" s="214"/>
      <c r="AK110" s="214"/>
      <c r="AL110" s="214"/>
      <c r="AM110" s="214"/>
      <c r="AN110" s="214"/>
      <c r="AO110" s="214"/>
      <c r="AP110" s="214"/>
      <c r="AQ110" s="214"/>
      <c r="AR110" s="214"/>
      <c r="AS110" s="214"/>
      <c r="AT110" s="214"/>
      <c r="AU110" s="214"/>
      <c r="AV110" s="214"/>
      <c r="AW110" s="214"/>
      <c r="AX110" s="214"/>
      <c r="AY110" s="214"/>
      <c r="AZ110" s="214"/>
      <c r="BA110" s="214"/>
      <c r="BB110" s="214"/>
      <c r="BC110" s="214"/>
      <c r="BD110" s="214"/>
      <c r="BE110" s="214"/>
      <c r="BF110" s="214"/>
      <c r="BG110" s="214"/>
      <c r="BH110" s="214"/>
      <c r="BI110" s="214"/>
      <c r="BJ110" s="214"/>
      <c r="BK110" s="214"/>
      <c r="BL110" s="214"/>
      <c r="BM110" s="214"/>
      <c r="BN110" s="214"/>
      <c r="BO110" s="214"/>
      <c r="BP110" s="214"/>
      <c r="BQ110" s="214"/>
      <c r="BR110" s="214"/>
    </row>
    <row r="111" spans="1:70" s="182" customFormat="1" x14ac:dyDescent="0.2">
      <c r="A111" s="218"/>
      <c r="B111" s="218"/>
      <c r="C111" s="218"/>
      <c r="D111" s="218"/>
      <c r="E111" s="218"/>
      <c r="F111" s="218"/>
      <c r="G111" s="218"/>
      <c r="H111" s="218"/>
      <c r="I111" s="218"/>
      <c r="J111" s="218"/>
      <c r="K111" s="218"/>
      <c r="L111" s="218"/>
      <c r="M111" s="218"/>
      <c r="N111" s="218"/>
      <c r="O111" s="218"/>
      <c r="P111" s="218"/>
      <c r="Q111" s="218"/>
      <c r="R111" s="218"/>
      <c r="S111" s="218"/>
      <c r="T111" s="218"/>
      <c r="U111" s="215"/>
      <c r="V111" s="214"/>
      <c r="W111" s="214"/>
      <c r="X111" s="214"/>
      <c r="Y111" s="214"/>
      <c r="Z111" s="214"/>
      <c r="AA111" s="214"/>
      <c r="AB111" s="214"/>
      <c r="AC111" s="214"/>
      <c r="AD111" s="214"/>
      <c r="AE111" s="214"/>
      <c r="AF111" s="214"/>
      <c r="AG111" s="214"/>
      <c r="AH111" s="214"/>
      <c r="AI111" s="214"/>
      <c r="AJ111" s="214"/>
      <c r="AK111" s="214"/>
      <c r="AL111" s="214"/>
      <c r="AM111" s="214"/>
      <c r="AN111" s="214"/>
      <c r="AO111" s="214"/>
      <c r="AP111" s="214"/>
      <c r="AQ111" s="214"/>
      <c r="AR111" s="214"/>
      <c r="AS111" s="214"/>
      <c r="AT111" s="214"/>
      <c r="AU111" s="214"/>
      <c r="AV111" s="214"/>
      <c r="AW111" s="214"/>
      <c r="AX111" s="214"/>
      <c r="AY111" s="214"/>
      <c r="AZ111" s="214"/>
      <c r="BA111" s="214"/>
      <c r="BB111" s="214"/>
      <c r="BC111" s="214"/>
      <c r="BD111" s="214"/>
      <c r="BE111" s="214"/>
      <c r="BF111" s="214"/>
      <c r="BG111" s="214"/>
      <c r="BH111" s="214"/>
      <c r="BI111" s="214"/>
      <c r="BJ111" s="214"/>
      <c r="BK111" s="214"/>
      <c r="BL111" s="214"/>
      <c r="BM111" s="214"/>
      <c r="BN111" s="214"/>
      <c r="BO111" s="214"/>
      <c r="BP111" s="214"/>
      <c r="BQ111" s="214"/>
      <c r="BR111" s="214"/>
    </row>
    <row r="112" spans="1:70" s="182" customFormat="1" x14ac:dyDescent="0.2">
      <c r="A112" s="218"/>
      <c r="B112" s="218"/>
      <c r="C112" s="218"/>
      <c r="D112" s="218"/>
      <c r="E112" s="218"/>
      <c r="F112" s="218"/>
      <c r="G112" s="218"/>
      <c r="H112" s="218"/>
      <c r="I112" s="218"/>
      <c r="J112" s="218"/>
      <c r="K112" s="218"/>
      <c r="L112" s="218"/>
      <c r="M112" s="218"/>
      <c r="N112" s="218"/>
      <c r="O112" s="218"/>
      <c r="P112" s="218"/>
      <c r="Q112" s="218"/>
      <c r="R112" s="218"/>
      <c r="S112" s="218"/>
      <c r="T112" s="218"/>
      <c r="U112" s="214"/>
      <c r="V112" s="214"/>
      <c r="W112" s="214"/>
      <c r="X112" s="214"/>
      <c r="Y112" s="214"/>
      <c r="Z112" s="214"/>
      <c r="AA112" s="214"/>
      <c r="AB112" s="214"/>
      <c r="AC112" s="214"/>
      <c r="AD112" s="214"/>
      <c r="AE112" s="214"/>
      <c r="AF112" s="214"/>
      <c r="AG112" s="214"/>
      <c r="AH112" s="214"/>
      <c r="AI112" s="214"/>
      <c r="AJ112" s="214"/>
      <c r="AK112" s="214"/>
      <c r="AL112" s="214"/>
      <c r="AM112" s="214"/>
      <c r="AN112" s="214"/>
      <c r="AO112" s="214"/>
      <c r="AP112" s="214"/>
      <c r="AQ112" s="214"/>
      <c r="AR112" s="214"/>
      <c r="AS112" s="214"/>
      <c r="AT112" s="214"/>
      <c r="AU112" s="214"/>
      <c r="AV112" s="214"/>
      <c r="AW112" s="214"/>
      <c r="AX112" s="214"/>
      <c r="AY112" s="214"/>
      <c r="AZ112" s="214"/>
      <c r="BA112" s="214"/>
      <c r="BB112" s="214"/>
      <c r="BC112" s="214"/>
      <c r="BD112" s="214"/>
      <c r="BE112" s="214"/>
      <c r="BF112" s="214"/>
      <c r="BG112" s="214"/>
      <c r="BH112" s="214"/>
      <c r="BI112" s="214"/>
      <c r="BJ112" s="214"/>
      <c r="BK112" s="214"/>
      <c r="BL112" s="214"/>
      <c r="BM112" s="214"/>
      <c r="BN112" s="214"/>
      <c r="BO112" s="214"/>
      <c r="BP112" s="214"/>
      <c r="BQ112" s="214"/>
      <c r="BR112" s="214"/>
    </row>
    <row r="113" spans="1:70" s="182" customFormat="1" x14ac:dyDescent="0.2">
      <c r="A113" s="218"/>
      <c r="B113" s="218"/>
      <c r="C113" s="218"/>
      <c r="D113" s="218"/>
      <c r="E113" s="218"/>
      <c r="F113" s="218"/>
      <c r="G113" s="218"/>
      <c r="H113" s="218"/>
      <c r="I113" s="218"/>
      <c r="J113" s="218"/>
      <c r="K113" s="218"/>
      <c r="L113" s="218"/>
      <c r="M113" s="218"/>
      <c r="N113" s="218"/>
      <c r="O113" s="218"/>
      <c r="P113" s="218"/>
      <c r="Q113" s="218"/>
      <c r="R113" s="218"/>
      <c r="S113" s="218"/>
      <c r="T113" s="218"/>
      <c r="U113" s="214"/>
      <c r="V113" s="214"/>
      <c r="W113" s="214"/>
      <c r="X113" s="214"/>
      <c r="Y113" s="214"/>
      <c r="Z113" s="214"/>
      <c r="AA113" s="214"/>
      <c r="AB113" s="214"/>
      <c r="AC113" s="214"/>
      <c r="AD113" s="214"/>
      <c r="AE113" s="214"/>
      <c r="AF113" s="214"/>
      <c r="AG113" s="214"/>
      <c r="AH113" s="214"/>
      <c r="AI113" s="214"/>
      <c r="AJ113" s="214"/>
      <c r="AK113" s="214"/>
      <c r="AL113" s="214"/>
      <c r="AM113" s="214"/>
      <c r="AN113" s="214"/>
      <c r="AO113" s="214"/>
      <c r="AP113" s="214"/>
      <c r="AQ113" s="214"/>
      <c r="AR113" s="214"/>
      <c r="AS113" s="214"/>
      <c r="AT113" s="214"/>
      <c r="AU113" s="214"/>
      <c r="AV113" s="214"/>
      <c r="AW113" s="214"/>
      <c r="AX113" s="214"/>
      <c r="AY113" s="214"/>
      <c r="AZ113" s="214"/>
      <c r="BA113" s="214"/>
      <c r="BB113" s="214"/>
      <c r="BC113" s="214"/>
      <c r="BD113" s="214"/>
      <c r="BE113" s="214"/>
      <c r="BF113" s="214"/>
      <c r="BG113" s="214"/>
      <c r="BH113" s="214"/>
      <c r="BI113" s="214"/>
      <c r="BJ113" s="214"/>
      <c r="BK113" s="214"/>
      <c r="BL113" s="214"/>
      <c r="BM113" s="214"/>
      <c r="BN113" s="214"/>
      <c r="BO113" s="214"/>
      <c r="BP113" s="214"/>
      <c r="BQ113" s="214"/>
      <c r="BR113" s="214"/>
    </row>
    <row r="114" spans="1:70" s="182" customFormat="1" x14ac:dyDescent="0.2">
      <c r="A114" s="218"/>
      <c r="B114" s="218"/>
      <c r="C114" s="218"/>
      <c r="D114" s="218"/>
      <c r="E114" s="218"/>
      <c r="F114" s="218"/>
      <c r="G114" s="218"/>
      <c r="H114" s="218"/>
      <c r="I114" s="218"/>
      <c r="J114" s="218"/>
      <c r="K114" s="218"/>
      <c r="L114" s="218"/>
      <c r="M114" s="218"/>
      <c r="N114" s="218"/>
      <c r="O114" s="218"/>
      <c r="P114" s="218"/>
      <c r="Q114" s="218"/>
      <c r="R114" s="218"/>
      <c r="S114" s="218"/>
      <c r="T114" s="218"/>
      <c r="U114" s="214"/>
      <c r="V114" s="214"/>
      <c r="W114" s="214"/>
      <c r="X114" s="214"/>
      <c r="Y114" s="214"/>
      <c r="Z114" s="214"/>
      <c r="AA114" s="214"/>
      <c r="AB114" s="214"/>
      <c r="AC114" s="214"/>
      <c r="AD114" s="214"/>
      <c r="AE114" s="214"/>
      <c r="AF114" s="214"/>
      <c r="AG114" s="214"/>
      <c r="AH114" s="214"/>
      <c r="AI114" s="214"/>
      <c r="AJ114" s="214"/>
      <c r="AK114" s="214"/>
      <c r="AL114" s="214"/>
      <c r="AM114" s="214"/>
      <c r="AN114" s="214"/>
      <c r="AO114" s="214"/>
      <c r="AP114" s="214"/>
      <c r="AQ114" s="214"/>
      <c r="AR114" s="214"/>
      <c r="AS114" s="214"/>
      <c r="AT114" s="214"/>
      <c r="AU114" s="214"/>
      <c r="AV114" s="214"/>
      <c r="AW114" s="214"/>
      <c r="AX114" s="214"/>
      <c r="AY114" s="214"/>
      <c r="AZ114" s="214"/>
      <c r="BA114" s="214"/>
      <c r="BB114" s="214"/>
      <c r="BC114" s="214"/>
      <c r="BD114" s="214"/>
      <c r="BE114" s="214"/>
      <c r="BF114" s="214"/>
      <c r="BG114" s="214"/>
      <c r="BH114" s="214"/>
      <c r="BI114" s="214"/>
      <c r="BJ114" s="214"/>
      <c r="BK114" s="214"/>
      <c r="BL114" s="214"/>
      <c r="BM114" s="214"/>
      <c r="BN114" s="214"/>
      <c r="BO114" s="214"/>
      <c r="BP114" s="214"/>
      <c r="BQ114" s="214"/>
      <c r="BR114" s="214"/>
    </row>
    <row r="115" spans="1:70" s="182" customFormat="1" x14ac:dyDescent="0.2">
      <c r="A115" s="218"/>
      <c r="B115" s="218"/>
      <c r="C115" s="218"/>
      <c r="D115" s="218"/>
      <c r="E115" s="218"/>
      <c r="F115" s="218"/>
      <c r="G115" s="218"/>
      <c r="H115" s="218"/>
      <c r="I115" s="218"/>
      <c r="J115" s="218"/>
      <c r="K115" s="218"/>
      <c r="L115" s="218"/>
      <c r="M115" s="218"/>
      <c r="N115" s="218"/>
      <c r="O115" s="218"/>
      <c r="P115" s="218"/>
      <c r="Q115" s="218"/>
      <c r="R115" s="218"/>
      <c r="S115" s="218"/>
      <c r="T115" s="218"/>
      <c r="U115" s="214"/>
      <c r="V115" s="214"/>
      <c r="W115" s="214"/>
      <c r="X115" s="214"/>
      <c r="Y115" s="214"/>
      <c r="Z115" s="214"/>
      <c r="AA115" s="214"/>
      <c r="AB115" s="214"/>
      <c r="AC115" s="214"/>
      <c r="AD115" s="214"/>
      <c r="AE115" s="214"/>
      <c r="AF115" s="214"/>
      <c r="AG115" s="214"/>
      <c r="AH115" s="214"/>
      <c r="AI115" s="214"/>
      <c r="AJ115" s="214"/>
      <c r="AK115" s="214"/>
      <c r="AL115" s="214"/>
      <c r="AM115" s="214"/>
      <c r="AN115" s="214"/>
      <c r="AO115" s="214"/>
      <c r="AP115" s="214"/>
      <c r="AQ115" s="214"/>
      <c r="AR115" s="214"/>
      <c r="AS115" s="214"/>
      <c r="AT115" s="214"/>
      <c r="AU115" s="214"/>
      <c r="AV115" s="214"/>
      <c r="AW115" s="214"/>
      <c r="AX115" s="214"/>
      <c r="AY115" s="214"/>
      <c r="AZ115" s="214"/>
      <c r="BA115" s="214"/>
      <c r="BB115" s="214"/>
      <c r="BC115" s="214"/>
      <c r="BD115" s="214"/>
      <c r="BE115" s="214"/>
      <c r="BF115" s="214"/>
      <c r="BG115" s="214"/>
      <c r="BH115" s="214"/>
      <c r="BI115" s="214"/>
      <c r="BJ115" s="214"/>
      <c r="BK115" s="214"/>
      <c r="BL115" s="214"/>
      <c r="BM115" s="214"/>
      <c r="BN115" s="214"/>
      <c r="BO115" s="214"/>
      <c r="BP115" s="214"/>
      <c r="BQ115" s="214"/>
      <c r="BR115" s="214"/>
    </row>
    <row r="116" spans="1:70" s="182" customFormat="1" x14ac:dyDescent="0.2">
      <c r="A116" s="218"/>
      <c r="B116" s="218"/>
      <c r="C116" s="218"/>
      <c r="D116" s="218"/>
      <c r="E116" s="218"/>
      <c r="F116" s="218"/>
      <c r="G116" s="218"/>
      <c r="H116" s="218"/>
      <c r="I116" s="218"/>
      <c r="J116" s="218"/>
      <c r="K116" s="218"/>
      <c r="L116" s="218"/>
      <c r="M116" s="218"/>
      <c r="N116" s="218"/>
      <c r="O116" s="218"/>
      <c r="P116" s="218"/>
      <c r="Q116" s="218"/>
      <c r="R116" s="218"/>
      <c r="S116" s="218"/>
      <c r="T116" s="218"/>
      <c r="U116" s="214"/>
      <c r="V116" s="214"/>
      <c r="W116" s="214"/>
      <c r="X116" s="214"/>
      <c r="Y116" s="214"/>
      <c r="Z116" s="214"/>
      <c r="AA116" s="214"/>
      <c r="AB116" s="214"/>
      <c r="AC116" s="214"/>
      <c r="AD116" s="214"/>
      <c r="AE116" s="214"/>
      <c r="AF116" s="214"/>
      <c r="AG116" s="214"/>
      <c r="AH116" s="214"/>
      <c r="AI116" s="214"/>
      <c r="AJ116" s="214"/>
      <c r="AK116" s="214"/>
      <c r="AL116" s="214"/>
      <c r="AM116" s="214"/>
      <c r="AN116" s="214"/>
      <c r="AO116" s="214"/>
      <c r="AP116" s="214"/>
      <c r="AQ116" s="214"/>
      <c r="AR116" s="214"/>
      <c r="AS116" s="214"/>
      <c r="AT116" s="214"/>
      <c r="AU116" s="214"/>
      <c r="AV116" s="214"/>
      <c r="AW116" s="214"/>
      <c r="AX116" s="214"/>
      <c r="AY116" s="214"/>
      <c r="AZ116" s="214"/>
      <c r="BA116" s="214"/>
      <c r="BB116" s="214"/>
      <c r="BC116" s="214"/>
      <c r="BD116" s="214"/>
      <c r="BE116" s="214"/>
      <c r="BF116" s="214"/>
      <c r="BG116" s="214"/>
      <c r="BH116" s="214"/>
      <c r="BI116" s="214"/>
      <c r="BJ116" s="214"/>
      <c r="BK116" s="214"/>
      <c r="BL116" s="214"/>
      <c r="BM116" s="214"/>
      <c r="BN116" s="214"/>
      <c r="BO116" s="214"/>
      <c r="BP116" s="214"/>
      <c r="BQ116" s="214"/>
      <c r="BR116" s="214"/>
    </row>
    <row r="117" spans="1:70" s="182" customFormat="1" x14ac:dyDescent="0.2">
      <c r="A117" s="218"/>
      <c r="B117" s="218"/>
      <c r="C117" s="218"/>
      <c r="D117" s="218"/>
      <c r="E117" s="218"/>
      <c r="F117" s="218"/>
      <c r="G117" s="218"/>
      <c r="H117" s="218"/>
      <c r="I117" s="218"/>
      <c r="J117" s="218"/>
      <c r="K117" s="218"/>
      <c r="L117" s="218"/>
      <c r="M117" s="218"/>
      <c r="N117" s="218"/>
      <c r="O117" s="218"/>
      <c r="P117" s="218"/>
      <c r="Q117" s="218"/>
      <c r="R117" s="218"/>
      <c r="S117" s="218"/>
      <c r="T117" s="218"/>
      <c r="U117" s="214"/>
      <c r="V117" s="214"/>
      <c r="W117" s="214"/>
      <c r="X117" s="214"/>
      <c r="Y117" s="214"/>
      <c r="Z117" s="214"/>
      <c r="AA117" s="214"/>
      <c r="AB117" s="214"/>
      <c r="AC117" s="214"/>
      <c r="AD117" s="214"/>
      <c r="AE117" s="214"/>
      <c r="AF117" s="214"/>
      <c r="AG117" s="214"/>
      <c r="AH117" s="214"/>
      <c r="AI117" s="214"/>
      <c r="AJ117" s="214"/>
      <c r="AK117" s="214"/>
      <c r="AL117" s="214"/>
      <c r="AM117" s="214"/>
      <c r="AN117" s="214"/>
      <c r="AO117" s="214"/>
      <c r="AP117" s="214"/>
      <c r="AQ117" s="214"/>
      <c r="AR117" s="214"/>
      <c r="AS117" s="214"/>
      <c r="AT117" s="214"/>
      <c r="AU117" s="214"/>
      <c r="AV117" s="214"/>
      <c r="AW117" s="214"/>
      <c r="AX117" s="214"/>
      <c r="AY117" s="214"/>
      <c r="AZ117" s="214"/>
      <c r="BA117" s="214"/>
      <c r="BB117" s="214"/>
      <c r="BC117" s="214"/>
      <c r="BD117" s="214"/>
      <c r="BE117" s="214"/>
      <c r="BF117" s="214"/>
      <c r="BG117" s="214"/>
      <c r="BH117" s="214"/>
      <c r="BI117" s="214"/>
      <c r="BJ117" s="214"/>
      <c r="BK117" s="214"/>
      <c r="BL117" s="214"/>
      <c r="BM117" s="214"/>
      <c r="BN117" s="214"/>
      <c r="BO117" s="214"/>
      <c r="BP117" s="214"/>
      <c r="BQ117" s="214"/>
      <c r="BR117" s="214"/>
    </row>
    <row r="118" spans="1:70" s="182" customFormat="1" x14ac:dyDescent="0.2">
      <c r="A118" s="218"/>
      <c r="B118" s="218"/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4"/>
      <c r="V118" s="214"/>
      <c r="W118" s="214"/>
      <c r="X118" s="214"/>
      <c r="Y118" s="214"/>
      <c r="Z118" s="214"/>
      <c r="AA118" s="214"/>
      <c r="AB118" s="214"/>
      <c r="AC118" s="214"/>
      <c r="AD118" s="214"/>
      <c r="AE118" s="214"/>
      <c r="AF118" s="214"/>
      <c r="AG118" s="214"/>
      <c r="AH118" s="214"/>
      <c r="AI118" s="214"/>
      <c r="AJ118" s="214"/>
      <c r="AK118" s="214"/>
      <c r="AL118" s="214"/>
      <c r="AM118" s="214"/>
      <c r="AN118" s="214"/>
      <c r="AO118" s="214"/>
      <c r="AP118" s="214"/>
      <c r="AQ118" s="214"/>
      <c r="AR118" s="214"/>
      <c r="AS118" s="214"/>
      <c r="AT118" s="214"/>
      <c r="AU118" s="214"/>
      <c r="AV118" s="214"/>
      <c r="AW118" s="214"/>
      <c r="AX118" s="214"/>
      <c r="AY118" s="214"/>
      <c r="AZ118" s="214"/>
      <c r="BA118" s="214"/>
      <c r="BB118" s="214"/>
      <c r="BC118" s="214"/>
      <c r="BD118" s="214"/>
      <c r="BE118" s="214"/>
      <c r="BF118" s="214"/>
      <c r="BG118" s="214"/>
      <c r="BH118" s="214"/>
      <c r="BI118" s="214"/>
      <c r="BJ118" s="214"/>
      <c r="BK118" s="214"/>
      <c r="BL118" s="214"/>
      <c r="BM118" s="214"/>
      <c r="BN118" s="214"/>
      <c r="BO118" s="214"/>
      <c r="BP118" s="214"/>
      <c r="BQ118" s="214"/>
      <c r="BR118" s="214"/>
    </row>
    <row r="119" spans="1:70" s="182" customFormat="1" x14ac:dyDescent="0.2">
      <c r="A119" s="218"/>
      <c r="B119" s="218"/>
      <c r="C119" s="218"/>
      <c r="D119" s="218"/>
      <c r="E119" s="218"/>
      <c r="F119" s="218"/>
      <c r="G119" s="218"/>
      <c r="H119" s="218"/>
      <c r="I119" s="218"/>
      <c r="J119" s="218"/>
      <c r="K119" s="218"/>
      <c r="L119" s="218"/>
      <c r="M119" s="218"/>
      <c r="N119" s="218"/>
      <c r="O119" s="218"/>
      <c r="P119" s="218"/>
      <c r="Q119" s="218"/>
      <c r="R119" s="218"/>
      <c r="S119" s="218"/>
      <c r="T119" s="218"/>
      <c r="U119" s="214"/>
      <c r="V119" s="214"/>
      <c r="W119" s="214"/>
      <c r="X119" s="214"/>
      <c r="Y119" s="214"/>
      <c r="Z119" s="214"/>
      <c r="AA119" s="214"/>
      <c r="AB119" s="214"/>
      <c r="AC119" s="214"/>
      <c r="AD119" s="214"/>
      <c r="AE119" s="214"/>
      <c r="AF119" s="214"/>
      <c r="AG119" s="214"/>
      <c r="AH119" s="214"/>
      <c r="AI119" s="214"/>
      <c r="AJ119" s="214"/>
      <c r="AK119" s="214"/>
      <c r="AL119" s="214"/>
      <c r="AM119" s="214"/>
      <c r="AN119" s="214"/>
      <c r="AO119" s="214"/>
      <c r="AP119" s="214"/>
      <c r="AQ119" s="214"/>
      <c r="AR119" s="214"/>
      <c r="AS119" s="214"/>
      <c r="AT119" s="214"/>
      <c r="AU119" s="214"/>
      <c r="AV119" s="214"/>
      <c r="AW119" s="214"/>
      <c r="AX119" s="214"/>
      <c r="AY119" s="214"/>
      <c r="AZ119" s="214"/>
      <c r="BA119" s="214"/>
      <c r="BB119" s="214"/>
      <c r="BC119" s="214"/>
      <c r="BD119" s="214"/>
      <c r="BE119" s="214"/>
      <c r="BF119" s="214"/>
      <c r="BG119" s="214"/>
      <c r="BH119" s="214"/>
      <c r="BI119" s="214"/>
      <c r="BJ119" s="214"/>
      <c r="BK119" s="214"/>
      <c r="BL119" s="214"/>
      <c r="BM119" s="214"/>
      <c r="BN119" s="214"/>
      <c r="BO119" s="214"/>
      <c r="BP119" s="214"/>
      <c r="BQ119" s="214"/>
      <c r="BR119" s="214"/>
    </row>
    <row r="120" spans="1:70" s="182" customFormat="1" x14ac:dyDescent="0.2">
      <c r="A120" s="218"/>
      <c r="B120" s="218"/>
      <c r="C120" s="218"/>
      <c r="D120" s="218"/>
      <c r="E120" s="218"/>
      <c r="F120" s="218"/>
      <c r="G120" s="218"/>
      <c r="H120" s="218"/>
      <c r="I120" s="218"/>
      <c r="J120" s="218"/>
      <c r="K120" s="218"/>
      <c r="L120" s="218"/>
      <c r="M120" s="218"/>
      <c r="N120" s="218"/>
      <c r="O120" s="218"/>
      <c r="P120" s="218"/>
      <c r="Q120" s="218"/>
      <c r="R120" s="218"/>
      <c r="S120" s="218"/>
      <c r="T120" s="218"/>
      <c r="U120" s="214"/>
      <c r="V120" s="214"/>
      <c r="W120" s="214"/>
      <c r="X120" s="214"/>
      <c r="Y120" s="214"/>
      <c r="Z120" s="214"/>
      <c r="AA120" s="214"/>
      <c r="AB120" s="214"/>
      <c r="AC120" s="214"/>
      <c r="AD120" s="214"/>
      <c r="AE120" s="214"/>
      <c r="AF120" s="214"/>
      <c r="AG120" s="214"/>
      <c r="AH120" s="214"/>
      <c r="AI120" s="214"/>
      <c r="AJ120" s="214"/>
      <c r="AK120" s="214"/>
      <c r="AL120" s="214"/>
      <c r="AM120" s="214"/>
      <c r="AN120" s="214"/>
      <c r="AO120" s="214"/>
      <c r="AP120" s="214"/>
      <c r="AQ120" s="214"/>
      <c r="AR120" s="214"/>
      <c r="AS120" s="214"/>
      <c r="AT120" s="214"/>
      <c r="AU120" s="214"/>
      <c r="AV120" s="214"/>
      <c r="AW120" s="214"/>
      <c r="AX120" s="214"/>
      <c r="AY120" s="214"/>
      <c r="AZ120" s="214"/>
      <c r="BA120" s="214"/>
      <c r="BB120" s="214"/>
      <c r="BC120" s="214"/>
      <c r="BD120" s="214"/>
      <c r="BE120" s="214"/>
      <c r="BF120" s="214"/>
      <c r="BG120" s="214"/>
      <c r="BH120" s="214"/>
      <c r="BI120" s="214"/>
      <c r="BJ120" s="214"/>
      <c r="BK120" s="214"/>
      <c r="BL120" s="214"/>
      <c r="BM120" s="214"/>
      <c r="BN120" s="214"/>
      <c r="BO120" s="214"/>
      <c r="BP120" s="214"/>
      <c r="BQ120" s="214"/>
      <c r="BR120" s="214"/>
    </row>
    <row r="121" spans="1:70" s="182" customFormat="1" x14ac:dyDescent="0.2">
      <c r="A121" s="218"/>
      <c r="B121" s="218"/>
      <c r="C121" s="218"/>
      <c r="D121" s="218"/>
      <c r="E121" s="218"/>
      <c r="F121" s="218"/>
      <c r="G121" s="218"/>
      <c r="H121" s="218"/>
      <c r="I121" s="218"/>
      <c r="J121" s="218"/>
      <c r="K121" s="218"/>
      <c r="L121" s="218"/>
      <c r="M121" s="218"/>
      <c r="N121" s="218"/>
      <c r="O121" s="218"/>
      <c r="P121" s="218"/>
      <c r="Q121" s="218"/>
      <c r="R121" s="218"/>
      <c r="S121" s="218"/>
      <c r="T121" s="218"/>
      <c r="U121" s="214"/>
      <c r="V121" s="214"/>
      <c r="W121" s="214"/>
      <c r="X121" s="214"/>
      <c r="Y121" s="214"/>
      <c r="Z121" s="214"/>
      <c r="AA121" s="214"/>
      <c r="AB121" s="214"/>
      <c r="AC121" s="214"/>
      <c r="AD121" s="214"/>
      <c r="AE121" s="214"/>
      <c r="AF121" s="214"/>
      <c r="AG121" s="214"/>
      <c r="AH121" s="214"/>
      <c r="AI121" s="214"/>
      <c r="AJ121" s="214"/>
      <c r="AK121" s="214"/>
      <c r="AL121" s="214"/>
      <c r="AM121" s="214"/>
      <c r="AN121" s="214"/>
      <c r="AO121" s="214"/>
      <c r="AP121" s="214"/>
      <c r="AQ121" s="214"/>
      <c r="AR121" s="214"/>
      <c r="AS121" s="214"/>
      <c r="AT121" s="214"/>
      <c r="AU121" s="214"/>
      <c r="AV121" s="214"/>
      <c r="AW121" s="214"/>
      <c r="AX121" s="214"/>
      <c r="AY121" s="214"/>
      <c r="AZ121" s="214"/>
      <c r="BA121" s="214"/>
      <c r="BB121" s="214"/>
      <c r="BC121" s="214"/>
      <c r="BD121" s="214"/>
      <c r="BE121" s="214"/>
      <c r="BF121" s="214"/>
      <c r="BG121" s="214"/>
      <c r="BH121" s="214"/>
      <c r="BI121" s="214"/>
      <c r="BJ121" s="214"/>
      <c r="BK121" s="214"/>
      <c r="BL121" s="214"/>
      <c r="BM121" s="214"/>
      <c r="BN121" s="214"/>
      <c r="BO121" s="214"/>
      <c r="BP121" s="214"/>
      <c r="BQ121" s="214"/>
      <c r="BR121" s="214"/>
    </row>
    <row r="122" spans="1:70" s="182" customFormat="1" x14ac:dyDescent="0.2">
      <c r="A122" s="218"/>
      <c r="B122" s="218"/>
      <c r="C122" s="218"/>
      <c r="D122" s="218"/>
      <c r="E122" s="218"/>
      <c r="F122" s="218"/>
      <c r="G122" s="218"/>
      <c r="H122" s="218"/>
      <c r="I122" s="218"/>
      <c r="J122" s="218"/>
      <c r="K122" s="218"/>
      <c r="L122" s="218"/>
      <c r="M122" s="218"/>
      <c r="N122" s="218"/>
      <c r="O122" s="218"/>
      <c r="P122" s="218"/>
      <c r="Q122" s="218"/>
      <c r="R122" s="218"/>
      <c r="S122" s="218"/>
      <c r="T122" s="218"/>
      <c r="U122" s="214"/>
      <c r="V122" s="214"/>
      <c r="W122" s="214"/>
      <c r="X122" s="214"/>
      <c r="Y122" s="214"/>
      <c r="Z122" s="214"/>
      <c r="AA122" s="214"/>
      <c r="AB122" s="214"/>
      <c r="AC122" s="214"/>
      <c r="AD122" s="214"/>
      <c r="AE122" s="214"/>
      <c r="AF122" s="214"/>
      <c r="AG122" s="214"/>
      <c r="AH122" s="214"/>
      <c r="AI122" s="214"/>
      <c r="AJ122" s="214"/>
      <c r="AK122" s="214"/>
      <c r="AL122" s="214"/>
      <c r="AM122" s="214"/>
      <c r="AN122" s="214"/>
      <c r="AO122" s="214"/>
      <c r="AP122" s="214"/>
      <c r="AQ122" s="214"/>
      <c r="AR122" s="214"/>
      <c r="AS122" s="214"/>
      <c r="AT122" s="214"/>
      <c r="AU122" s="214"/>
      <c r="AV122" s="214"/>
      <c r="AW122" s="214"/>
      <c r="AX122" s="214"/>
      <c r="AY122" s="214"/>
      <c r="AZ122" s="214"/>
      <c r="BA122" s="214"/>
      <c r="BB122" s="214"/>
      <c r="BC122" s="214"/>
      <c r="BD122" s="214"/>
      <c r="BE122" s="214"/>
      <c r="BF122" s="214"/>
      <c r="BG122" s="214"/>
      <c r="BH122" s="214"/>
      <c r="BI122" s="214"/>
      <c r="BJ122" s="214"/>
      <c r="BK122" s="214"/>
      <c r="BL122" s="214"/>
      <c r="BM122" s="214"/>
      <c r="BN122" s="214"/>
      <c r="BO122" s="214"/>
      <c r="BP122" s="214"/>
      <c r="BQ122" s="214"/>
      <c r="BR122" s="214"/>
    </row>
    <row r="123" spans="1:70" s="182" customFormat="1" x14ac:dyDescent="0.2">
      <c r="A123" s="218"/>
      <c r="B123" s="218"/>
      <c r="C123" s="218"/>
      <c r="D123" s="218"/>
      <c r="E123" s="218"/>
      <c r="F123" s="218"/>
      <c r="G123" s="218"/>
      <c r="H123" s="218"/>
      <c r="I123" s="218"/>
      <c r="J123" s="218"/>
      <c r="K123" s="218"/>
      <c r="L123" s="218"/>
      <c r="M123" s="218"/>
      <c r="N123" s="218"/>
      <c r="O123" s="218"/>
      <c r="P123" s="218"/>
      <c r="Q123" s="218"/>
      <c r="R123" s="218"/>
      <c r="S123" s="218"/>
      <c r="T123" s="218"/>
      <c r="U123" s="214"/>
      <c r="V123" s="214"/>
      <c r="W123" s="214"/>
      <c r="X123" s="214"/>
      <c r="Y123" s="214"/>
      <c r="Z123" s="214"/>
      <c r="AA123" s="214"/>
      <c r="AB123" s="214"/>
      <c r="AC123" s="214"/>
      <c r="AD123" s="214"/>
      <c r="AE123" s="214"/>
      <c r="AF123" s="214"/>
      <c r="AG123" s="214"/>
      <c r="AH123" s="214"/>
      <c r="AI123" s="214"/>
      <c r="AJ123" s="214"/>
      <c r="AK123" s="214"/>
      <c r="AL123" s="214"/>
      <c r="AM123" s="214"/>
      <c r="AN123" s="214"/>
      <c r="AO123" s="214"/>
      <c r="AP123" s="214"/>
      <c r="AQ123" s="214"/>
      <c r="AR123" s="214"/>
      <c r="AS123" s="214"/>
      <c r="AT123" s="214"/>
      <c r="AU123" s="214"/>
      <c r="AV123" s="214"/>
      <c r="AW123" s="214"/>
      <c r="AX123" s="214"/>
      <c r="AY123" s="214"/>
      <c r="AZ123" s="214"/>
      <c r="BA123" s="214"/>
      <c r="BB123" s="214"/>
      <c r="BC123" s="214"/>
      <c r="BD123" s="214"/>
      <c r="BE123" s="214"/>
      <c r="BF123" s="214"/>
      <c r="BG123" s="214"/>
      <c r="BH123" s="214"/>
      <c r="BI123" s="214"/>
      <c r="BJ123" s="214"/>
      <c r="BK123" s="214"/>
      <c r="BL123" s="214"/>
      <c r="BM123" s="214"/>
      <c r="BN123" s="214"/>
      <c r="BO123" s="214"/>
      <c r="BP123" s="214"/>
      <c r="BQ123" s="214"/>
      <c r="BR123" s="214"/>
    </row>
    <row r="124" spans="1:70" s="182" customFormat="1" x14ac:dyDescent="0.2">
      <c r="A124" s="218"/>
      <c r="B124" s="218"/>
      <c r="C124" s="218"/>
      <c r="D124" s="218"/>
      <c r="E124" s="218"/>
      <c r="F124" s="218"/>
      <c r="G124" s="218"/>
      <c r="H124" s="218"/>
      <c r="I124" s="218"/>
      <c r="J124" s="218"/>
      <c r="K124" s="218"/>
      <c r="L124" s="218"/>
      <c r="M124" s="218"/>
      <c r="N124" s="218"/>
      <c r="O124" s="218"/>
      <c r="P124" s="218"/>
      <c r="Q124" s="218"/>
      <c r="R124" s="218"/>
      <c r="S124" s="218"/>
      <c r="T124" s="218"/>
      <c r="U124" s="214"/>
      <c r="V124" s="214"/>
      <c r="W124" s="214"/>
      <c r="X124" s="214"/>
      <c r="Y124" s="214"/>
      <c r="Z124" s="214"/>
      <c r="AA124" s="214"/>
      <c r="AB124" s="214"/>
      <c r="AC124" s="214"/>
      <c r="AD124" s="214"/>
      <c r="AE124" s="214"/>
      <c r="AF124" s="214"/>
      <c r="AG124" s="214"/>
      <c r="AH124" s="214"/>
      <c r="AI124" s="214"/>
      <c r="AJ124" s="214"/>
      <c r="AK124" s="214"/>
      <c r="AL124" s="214"/>
      <c r="AM124" s="214"/>
      <c r="AN124" s="214"/>
      <c r="AO124" s="214"/>
      <c r="AP124" s="214"/>
      <c r="AQ124" s="214"/>
      <c r="AR124" s="214"/>
      <c r="AS124" s="214"/>
      <c r="AT124" s="214"/>
      <c r="AU124" s="214"/>
      <c r="AV124" s="214"/>
      <c r="AW124" s="214"/>
      <c r="AX124" s="214"/>
      <c r="AY124" s="214"/>
      <c r="AZ124" s="214"/>
      <c r="BA124" s="214"/>
      <c r="BB124" s="214"/>
      <c r="BC124" s="214"/>
      <c r="BD124" s="214"/>
      <c r="BE124" s="214"/>
      <c r="BF124" s="214"/>
      <c r="BG124" s="214"/>
      <c r="BH124" s="214"/>
      <c r="BI124" s="214"/>
      <c r="BJ124" s="214"/>
      <c r="BK124" s="214"/>
      <c r="BL124" s="214"/>
      <c r="BM124" s="214"/>
      <c r="BN124" s="214"/>
      <c r="BO124" s="214"/>
      <c r="BP124" s="214"/>
      <c r="BQ124" s="214"/>
      <c r="BR124" s="214"/>
    </row>
    <row r="125" spans="1:70" s="182" customFormat="1" x14ac:dyDescent="0.2">
      <c r="A125" s="218"/>
      <c r="B125" s="218"/>
      <c r="C125" s="218"/>
      <c r="D125" s="218"/>
      <c r="E125" s="218"/>
      <c r="F125" s="218"/>
      <c r="G125" s="218"/>
      <c r="H125" s="218"/>
      <c r="I125" s="218"/>
      <c r="J125" s="218"/>
      <c r="K125" s="218"/>
      <c r="L125" s="218"/>
      <c r="M125" s="218"/>
      <c r="N125" s="218"/>
      <c r="O125" s="218"/>
      <c r="P125" s="218"/>
      <c r="Q125" s="218"/>
      <c r="R125" s="218"/>
      <c r="S125" s="218"/>
      <c r="T125" s="218"/>
      <c r="U125" s="214"/>
      <c r="V125" s="214"/>
      <c r="W125" s="214"/>
      <c r="X125" s="214"/>
      <c r="Y125" s="214"/>
      <c r="Z125" s="214"/>
      <c r="AA125" s="214"/>
      <c r="AB125" s="214"/>
      <c r="AC125" s="214"/>
      <c r="AD125" s="214"/>
      <c r="AE125" s="214"/>
      <c r="AF125" s="214"/>
      <c r="AG125" s="214"/>
      <c r="AH125" s="214"/>
      <c r="AI125" s="214"/>
      <c r="AJ125" s="214"/>
      <c r="AK125" s="214"/>
      <c r="AL125" s="214"/>
      <c r="AM125" s="214"/>
      <c r="AN125" s="214"/>
      <c r="AO125" s="214"/>
      <c r="AP125" s="214"/>
      <c r="AQ125" s="214"/>
      <c r="AR125" s="214"/>
      <c r="AS125" s="214"/>
      <c r="AT125" s="214"/>
      <c r="AU125" s="214"/>
      <c r="AV125" s="214"/>
      <c r="AW125" s="214"/>
      <c r="AX125" s="214"/>
      <c r="AY125" s="214"/>
      <c r="AZ125" s="214"/>
      <c r="BA125" s="214"/>
      <c r="BB125" s="214"/>
      <c r="BC125" s="214"/>
      <c r="BD125" s="214"/>
      <c r="BE125" s="214"/>
      <c r="BF125" s="214"/>
      <c r="BG125" s="214"/>
      <c r="BH125" s="214"/>
      <c r="BI125" s="214"/>
      <c r="BJ125" s="214"/>
      <c r="BK125" s="214"/>
      <c r="BL125" s="214"/>
      <c r="BM125" s="214"/>
      <c r="BN125" s="214"/>
      <c r="BO125" s="214"/>
      <c r="BP125" s="214"/>
      <c r="BQ125" s="214"/>
      <c r="BR125" s="214"/>
    </row>
    <row r="126" spans="1:70" s="182" customFormat="1" x14ac:dyDescent="0.2">
      <c r="A126" s="218"/>
      <c r="B126" s="218"/>
      <c r="C126" s="218"/>
      <c r="D126" s="218"/>
      <c r="E126" s="218"/>
      <c r="F126" s="218"/>
      <c r="G126" s="218"/>
      <c r="H126" s="218"/>
      <c r="I126" s="218"/>
      <c r="J126" s="218"/>
      <c r="K126" s="218"/>
      <c r="L126" s="218"/>
      <c r="M126" s="218"/>
      <c r="N126" s="218"/>
      <c r="O126" s="218"/>
      <c r="P126" s="218"/>
      <c r="Q126" s="218"/>
      <c r="R126" s="218"/>
      <c r="S126" s="218"/>
      <c r="T126" s="218"/>
      <c r="U126" s="214"/>
      <c r="V126" s="214"/>
      <c r="W126" s="214"/>
      <c r="X126" s="214"/>
      <c r="Y126" s="214"/>
      <c r="Z126" s="214"/>
      <c r="AA126" s="214"/>
      <c r="AB126" s="214"/>
      <c r="AC126" s="214"/>
      <c r="AD126" s="214"/>
      <c r="AE126" s="214"/>
      <c r="AF126" s="214"/>
      <c r="AG126" s="214"/>
      <c r="AH126" s="214"/>
      <c r="AI126" s="214"/>
      <c r="AJ126" s="214"/>
      <c r="AK126" s="214"/>
      <c r="AL126" s="214"/>
      <c r="AM126" s="214"/>
      <c r="AN126" s="214"/>
      <c r="AO126" s="214"/>
      <c r="AP126" s="214"/>
      <c r="AQ126" s="214"/>
      <c r="AR126" s="214"/>
      <c r="AS126" s="214"/>
      <c r="AT126" s="214"/>
      <c r="AU126" s="214"/>
      <c r="AV126" s="214"/>
      <c r="AW126" s="214"/>
      <c r="AX126" s="214"/>
      <c r="AY126" s="214"/>
      <c r="AZ126" s="214"/>
      <c r="BA126" s="214"/>
      <c r="BB126" s="214"/>
      <c r="BC126" s="214"/>
      <c r="BD126" s="214"/>
      <c r="BE126" s="214"/>
      <c r="BF126" s="214"/>
      <c r="BG126" s="214"/>
      <c r="BH126" s="214"/>
      <c r="BI126" s="214"/>
      <c r="BJ126" s="214"/>
      <c r="BK126" s="214"/>
      <c r="BL126" s="214"/>
      <c r="BM126" s="214"/>
      <c r="BN126" s="214"/>
      <c r="BO126" s="214"/>
      <c r="BP126" s="214"/>
      <c r="BQ126" s="214"/>
      <c r="BR126" s="214"/>
    </row>
    <row r="127" spans="1:70" s="182" customFormat="1" x14ac:dyDescent="0.2">
      <c r="A127" s="218"/>
      <c r="B127" s="218"/>
      <c r="C127" s="218"/>
      <c r="D127" s="218"/>
      <c r="E127" s="218"/>
      <c r="F127" s="218"/>
      <c r="G127" s="218"/>
      <c r="H127" s="218"/>
      <c r="I127" s="218"/>
      <c r="J127" s="218"/>
      <c r="K127" s="218"/>
      <c r="L127" s="218"/>
      <c r="M127" s="218"/>
      <c r="N127" s="218"/>
      <c r="O127" s="218"/>
      <c r="P127" s="218"/>
      <c r="Q127" s="218"/>
      <c r="R127" s="218"/>
      <c r="S127" s="218"/>
      <c r="T127" s="218"/>
      <c r="U127" s="214"/>
      <c r="V127" s="214"/>
      <c r="W127" s="214"/>
      <c r="X127" s="214"/>
      <c r="Y127" s="214"/>
      <c r="Z127" s="214"/>
      <c r="AA127" s="214"/>
      <c r="AB127" s="214"/>
      <c r="AC127" s="214"/>
      <c r="AD127" s="214"/>
      <c r="AE127" s="214"/>
      <c r="AF127" s="214"/>
      <c r="AG127" s="214"/>
      <c r="AH127" s="214"/>
      <c r="AI127" s="214"/>
      <c r="AJ127" s="214"/>
      <c r="AK127" s="214"/>
      <c r="AL127" s="214"/>
      <c r="AM127" s="214"/>
      <c r="AN127" s="214"/>
      <c r="AO127" s="214"/>
      <c r="AP127" s="214"/>
      <c r="AQ127" s="214"/>
      <c r="AR127" s="214"/>
      <c r="AS127" s="214"/>
      <c r="AT127" s="214"/>
      <c r="AU127" s="214"/>
      <c r="AV127" s="214"/>
      <c r="AW127" s="214"/>
      <c r="AX127" s="214"/>
      <c r="AY127" s="214"/>
      <c r="AZ127" s="214"/>
      <c r="BA127" s="214"/>
      <c r="BB127" s="214"/>
      <c r="BC127" s="214"/>
      <c r="BD127" s="214"/>
      <c r="BE127" s="214"/>
      <c r="BF127" s="214"/>
      <c r="BG127" s="214"/>
      <c r="BH127" s="214"/>
      <c r="BI127" s="214"/>
      <c r="BJ127" s="214"/>
      <c r="BK127" s="214"/>
      <c r="BL127" s="214"/>
      <c r="BM127" s="214"/>
      <c r="BN127" s="214"/>
      <c r="BO127" s="214"/>
      <c r="BP127" s="214"/>
      <c r="BQ127" s="214"/>
      <c r="BR127" s="214"/>
    </row>
    <row r="128" spans="1:70" s="182" customFormat="1" x14ac:dyDescent="0.2">
      <c r="A128" s="218"/>
      <c r="B128" s="218"/>
      <c r="C128" s="218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8"/>
      <c r="S128" s="218"/>
      <c r="T128" s="218"/>
      <c r="U128" s="214"/>
      <c r="V128" s="214"/>
      <c r="W128" s="214"/>
      <c r="X128" s="214"/>
      <c r="Y128" s="214"/>
      <c r="Z128" s="214"/>
      <c r="AA128" s="214"/>
      <c r="AB128" s="214"/>
      <c r="AC128" s="214"/>
      <c r="AD128" s="214"/>
      <c r="AE128" s="214"/>
      <c r="AF128" s="214"/>
      <c r="AG128" s="214"/>
      <c r="AH128" s="214"/>
      <c r="AI128" s="214"/>
      <c r="AJ128" s="214"/>
      <c r="AK128" s="214"/>
      <c r="AL128" s="214"/>
      <c r="AM128" s="214"/>
      <c r="AN128" s="214"/>
      <c r="AO128" s="214"/>
      <c r="AP128" s="214"/>
      <c r="AQ128" s="214"/>
      <c r="AR128" s="214"/>
      <c r="AS128" s="214"/>
      <c r="AT128" s="214"/>
      <c r="AU128" s="214"/>
      <c r="AV128" s="214"/>
      <c r="AW128" s="214"/>
      <c r="AX128" s="214"/>
      <c r="AY128" s="214"/>
      <c r="AZ128" s="214"/>
      <c r="BA128" s="214"/>
      <c r="BB128" s="214"/>
      <c r="BC128" s="214"/>
      <c r="BD128" s="214"/>
      <c r="BE128" s="214"/>
      <c r="BF128" s="214"/>
      <c r="BG128" s="214"/>
      <c r="BH128" s="214"/>
      <c r="BI128" s="214"/>
      <c r="BJ128" s="214"/>
      <c r="BK128" s="214"/>
      <c r="BL128" s="214"/>
      <c r="BM128" s="214"/>
      <c r="BN128" s="214"/>
      <c r="BO128" s="214"/>
      <c r="BP128" s="214"/>
      <c r="BQ128" s="214"/>
      <c r="BR128" s="214"/>
    </row>
    <row r="129" spans="1:70" s="182" customFormat="1" x14ac:dyDescent="0.2">
      <c r="A129" s="218"/>
      <c r="B129" s="218"/>
      <c r="C129" s="218"/>
      <c r="D129" s="218"/>
      <c r="E129" s="218"/>
      <c r="F129" s="218"/>
      <c r="G129" s="218"/>
      <c r="H129" s="218"/>
      <c r="I129" s="218"/>
      <c r="J129" s="218"/>
      <c r="K129" s="218"/>
      <c r="L129" s="218"/>
      <c r="M129" s="218"/>
      <c r="N129" s="218"/>
      <c r="O129" s="218"/>
      <c r="P129" s="218"/>
      <c r="Q129" s="218"/>
      <c r="R129" s="214"/>
      <c r="S129" s="214"/>
      <c r="T129" s="214"/>
      <c r="U129" s="214"/>
      <c r="V129" s="214"/>
      <c r="W129" s="214"/>
      <c r="X129" s="214"/>
      <c r="Y129" s="214"/>
      <c r="Z129" s="214"/>
      <c r="AA129" s="214"/>
      <c r="AB129" s="214"/>
      <c r="AC129" s="214"/>
      <c r="AD129" s="214"/>
      <c r="AE129" s="214"/>
      <c r="AF129" s="214"/>
      <c r="AG129" s="214"/>
      <c r="AH129" s="214"/>
      <c r="AI129" s="214"/>
      <c r="AJ129" s="214"/>
      <c r="AK129" s="214"/>
      <c r="AL129" s="214"/>
      <c r="AM129" s="214"/>
      <c r="AN129" s="214"/>
      <c r="AO129" s="214"/>
      <c r="AP129" s="214"/>
      <c r="AQ129" s="214"/>
      <c r="AR129" s="214"/>
      <c r="AS129" s="214"/>
      <c r="AT129" s="214"/>
      <c r="AU129" s="214"/>
      <c r="AV129" s="214"/>
      <c r="AW129" s="214"/>
      <c r="AX129" s="214"/>
      <c r="AY129" s="214"/>
      <c r="AZ129" s="214"/>
      <c r="BA129" s="214"/>
      <c r="BB129" s="214"/>
      <c r="BC129" s="214"/>
      <c r="BD129" s="214"/>
      <c r="BE129" s="214"/>
      <c r="BF129" s="214"/>
      <c r="BG129" s="214"/>
      <c r="BH129" s="214"/>
      <c r="BI129" s="214"/>
      <c r="BJ129" s="214"/>
      <c r="BK129" s="214"/>
      <c r="BL129" s="214"/>
      <c r="BM129" s="214"/>
      <c r="BN129" s="214"/>
      <c r="BO129" s="214"/>
      <c r="BP129" s="214"/>
      <c r="BQ129" s="214"/>
      <c r="BR129" s="214"/>
    </row>
    <row r="130" spans="1:70" s="182" customFormat="1" x14ac:dyDescent="0.2">
      <c r="A130" s="218"/>
      <c r="B130" s="218"/>
      <c r="C130" s="218"/>
      <c r="D130" s="218"/>
      <c r="E130" s="218"/>
      <c r="F130" s="218"/>
      <c r="G130" s="218"/>
      <c r="H130" s="218"/>
      <c r="I130" s="218"/>
      <c r="J130" s="218"/>
      <c r="K130" s="218"/>
      <c r="L130" s="218"/>
      <c r="M130" s="218"/>
      <c r="N130" s="218"/>
      <c r="O130" s="218"/>
      <c r="P130" s="218"/>
      <c r="Q130" s="218"/>
      <c r="R130" s="214"/>
      <c r="S130" s="214"/>
      <c r="T130" s="214"/>
      <c r="U130" s="214"/>
      <c r="V130" s="214"/>
      <c r="W130" s="214"/>
      <c r="X130" s="214"/>
      <c r="Y130" s="214"/>
      <c r="Z130" s="214"/>
      <c r="AA130" s="214"/>
      <c r="AB130" s="214"/>
      <c r="AC130" s="214"/>
      <c r="AD130" s="214"/>
      <c r="AE130" s="214"/>
      <c r="AF130" s="214"/>
      <c r="AG130" s="214"/>
      <c r="AH130" s="214"/>
      <c r="AI130" s="214"/>
      <c r="AJ130" s="214"/>
      <c r="AK130" s="214"/>
      <c r="AL130" s="214"/>
      <c r="AM130" s="214"/>
      <c r="AN130" s="214"/>
      <c r="AO130" s="214"/>
      <c r="AP130" s="214"/>
      <c r="AQ130" s="214"/>
      <c r="AR130" s="214"/>
      <c r="AS130" s="214"/>
      <c r="AT130" s="214"/>
      <c r="AU130" s="214"/>
      <c r="AV130" s="214"/>
      <c r="AW130" s="214"/>
      <c r="AX130" s="214"/>
      <c r="AY130" s="214"/>
      <c r="AZ130" s="214"/>
      <c r="BA130" s="214"/>
      <c r="BB130" s="214"/>
      <c r="BC130" s="214"/>
      <c r="BD130" s="214"/>
      <c r="BE130" s="214"/>
      <c r="BF130" s="214"/>
      <c r="BG130" s="214"/>
      <c r="BH130" s="214"/>
      <c r="BI130" s="214"/>
      <c r="BJ130" s="214"/>
      <c r="BK130" s="214"/>
      <c r="BL130" s="214"/>
      <c r="BM130" s="214"/>
      <c r="BN130" s="214"/>
      <c r="BO130" s="214"/>
      <c r="BP130" s="214"/>
      <c r="BQ130" s="214"/>
      <c r="BR130" s="214"/>
    </row>
    <row r="131" spans="1:70" s="182" customFormat="1" x14ac:dyDescent="0.2">
      <c r="A131" s="218"/>
      <c r="B131" s="218"/>
      <c r="C131" s="218"/>
      <c r="D131" s="218"/>
      <c r="E131" s="218"/>
      <c r="F131" s="218"/>
      <c r="G131" s="218"/>
      <c r="H131" s="218"/>
      <c r="I131" s="218"/>
      <c r="J131" s="218"/>
      <c r="K131" s="218"/>
      <c r="L131" s="218"/>
      <c r="M131" s="218"/>
      <c r="N131" s="218"/>
      <c r="O131" s="218"/>
      <c r="P131" s="218"/>
      <c r="Q131" s="218"/>
      <c r="R131" s="214"/>
      <c r="S131" s="214"/>
      <c r="T131" s="214"/>
      <c r="U131" s="214"/>
      <c r="V131" s="214"/>
      <c r="W131" s="214"/>
      <c r="X131" s="214"/>
      <c r="Y131" s="214"/>
      <c r="Z131" s="214"/>
      <c r="AA131" s="214"/>
      <c r="AB131" s="214"/>
      <c r="AC131" s="214"/>
      <c r="AD131" s="214"/>
      <c r="AE131" s="214"/>
      <c r="AF131" s="214"/>
      <c r="AG131" s="214"/>
      <c r="AH131" s="214"/>
      <c r="AI131" s="214"/>
      <c r="AJ131" s="214"/>
      <c r="AK131" s="214"/>
      <c r="AL131" s="214"/>
      <c r="AM131" s="214"/>
      <c r="AN131" s="214"/>
      <c r="AO131" s="214"/>
      <c r="AP131" s="214"/>
      <c r="AQ131" s="214"/>
      <c r="AR131" s="214"/>
      <c r="AS131" s="214"/>
      <c r="AT131" s="214"/>
      <c r="AU131" s="214"/>
      <c r="AV131" s="214"/>
      <c r="AW131" s="214"/>
      <c r="AX131" s="214"/>
      <c r="AY131" s="214"/>
      <c r="AZ131" s="214"/>
      <c r="BA131" s="214"/>
      <c r="BB131" s="214"/>
      <c r="BC131" s="214"/>
      <c r="BD131" s="214"/>
      <c r="BE131" s="214"/>
      <c r="BF131" s="214"/>
      <c r="BG131" s="214"/>
      <c r="BH131" s="214"/>
      <c r="BI131" s="214"/>
      <c r="BJ131" s="214"/>
      <c r="BK131" s="214"/>
      <c r="BL131" s="214"/>
      <c r="BM131" s="214"/>
      <c r="BN131" s="214"/>
      <c r="BO131" s="214"/>
      <c r="BP131" s="214"/>
      <c r="BQ131" s="214"/>
      <c r="BR131" s="214"/>
    </row>
    <row r="132" spans="1:70" s="182" customFormat="1" x14ac:dyDescent="0.2">
      <c r="A132" s="218"/>
      <c r="B132" s="218"/>
      <c r="C132" s="218"/>
      <c r="D132" s="218"/>
      <c r="E132" s="218"/>
      <c r="F132" s="218"/>
      <c r="G132" s="218"/>
      <c r="H132" s="218"/>
      <c r="I132" s="218"/>
      <c r="J132" s="218"/>
      <c r="K132" s="218"/>
      <c r="L132" s="218"/>
      <c r="M132" s="218"/>
      <c r="N132" s="218"/>
      <c r="O132" s="218"/>
      <c r="P132" s="218"/>
      <c r="Q132" s="218"/>
      <c r="R132" s="214"/>
      <c r="S132" s="214"/>
      <c r="T132" s="214"/>
      <c r="U132" s="214"/>
      <c r="V132" s="214"/>
      <c r="W132" s="214"/>
      <c r="X132" s="214"/>
      <c r="Y132" s="214"/>
      <c r="Z132" s="214"/>
      <c r="AA132" s="214"/>
      <c r="AB132" s="214"/>
      <c r="AC132" s="214"/>
      <c r="AD132" s="214"/>
      <c r="AE132" s="214"/>
      <c r="AF132" s="214"/>
      <c r="AG132" s="214"/>
      <c r="AH132" s="214"/>
      <c r="AI132" s="214"/>
      <c r="AJ132" s="214"/>
      <c r="AK132" s="214"/>
      <c r="AL132" s="214"/>
      <c r="AM132" s="214"/>
      <c r="AN132" s="214"/>
      <c r="AO132" s="214"/>
      <c r="AP132" s="214"/>
      <c r="AQ132" s="214"/>
      <c r="AR132" s="214"/>
      <c r="AS132" s="214"/>
      <c r="AT132" s="214"/>
      <c r="AU132" s="214"/>
      <c r="AV132" s="214"/>
      <c r="AW132" s="214"/>
      <c r="AX132" s="214"/>
      <c r="AY132" s="214"/>
      <c r="AZ132" s="214"/>
      <c r="BA132" s="214"/>
      <c r="BB132" s="214"/>
      <c r="BC132" s="214"/>
      <c r="BD132" s="214"/>
      <c r="BE132" s="214"/>
      <c r="BF132" s="214"/>
      <c r="BG132" s="214"/>
      <c r="BH132" s="214"/>
      <c r="BI132" s="214"/>
      <c r="BJ132" s="214"/>
      <c r="BK132" s="214"/>
      <c r="BL132" s="214"/>
      <c r="BM132" s="214"/>
      <c r="BN132" s="214"/>
      <c r="BO132" s="214"/>
      <c r="BP132" s="214"/>
      <c r="BQ132" s="214"/>
      <c r="BR132" s="214"/>
    </row>
    <row r="133" spans="1:70" s="182" customFormat="1" x14ac:dyDescent="0.2">
      <c r="A133" s="218"/>
      <c r="B133" s="218"/>
      <c r="C133" s="218"/>
      <c r="D133" s="218"/>
      <c r="E133" s="218"/>
      <c r="F133" s="218"/>
      <c r="G133" s="218"/>
      <c r="H133" s="218"/>
      <c r="I133" s="218"/>
      <c r="J133" s="218"/>
      <c r="K133" s="218"/>
      <c r="L133" s="218"/>
      <c r="M133" s="218"/>
      <c r="N133" s="218"/>
      <c r="O133" s="218"/>
      <c r="P133" s="218"/>
      <c r="Q133" s="218"/>
      <c r="R133" s="214"/>
      <c r="S133" s="214"/>
      <c r="T133" s="214"/>
      <c r="U133" s="214"/>
      <c r="V133" s="214"/>
      <c r="W133" s="214"/>
      <c r="X133" s="214"/>
      <c r="Y133" s="214"/>
      <c r="Z133" s="214"/>
      <c r="AA133" s="214"/>
      <c r="AB133" s="214"/>
      <c r="AC133" s="214"/>
      <c r="AD133" s="214"/>
      <c r="AE133" s="214"/>
      <c r="AF133" s="214"/>
      <c r="AG133" s="214"/>
      <c r="AH133" s="214"/>
      <c r="AI133" s="214"/>
      <c r="AJ133" s="214"/>
      <c r="AK133" s="214"/>
      <c r="AL133" s="214"/>
      <c r="AM133" s="214"/>
      <c r="AN133" s="214"/>
      <c r="AO133" s="214"/>
      <c r="AP133" s="214"/>
      <c r="AQ133" s="214"/>
      <c r="AR133" s="214"/>
      <c r="AS133" s="214"/>
      <c r="AT133" s="214"/>
      <c r="AU133" s="214"/>
      <c r="AV133" s="214"/>
      <c r="AW133" s="214"/>
      <c r="AX133" s="214"/>
      <c r="AY133" s="214"/>
      <c r="AZ133" s="214"/>
      <c r="BA133" s="214"/>
      <c r="BB133" s="214"/>
      <c r="BC133" s="214"/>
      <c r="BD133" s="214"/>
      <c r="BE133" s="214"/>
      <c r="BF133" s="214"/>
      <c r="BG133" s="214"/>
      <c r="BH133" s="214"/>
      <c r="BI133" s="214"/>
      <c r="BJ133" s="214"/>
      <c r="BK133" s="214"/>
      <c r="BL133" s="214"/>
      <c r="BM133" s="214"/>
      <c r="BN133" s="214"/>
      <c r="BO133" s="214"/>
      <c r="BP133" s="214"/>
      <c r="BQ133" s="214"/>
      <c r="BR133" s="214"/>
    </row>
    <row r="134" spans="1:70" s="182" customFormat="1" x14ac:dyDescent="0.2">
      <c r="A134" s="214"/>
      <c r="B134" s="214"/>
      <c r="C134" s="214"/>
      <c r="D134" s="214"/>
      <c r="E134" s="214"/>
      <c r="F134" s="214"/>
      <c r="G134" s="214"/>
      <c r="H134" s="214"/>
      <c r="I134" s="214"/>
      <c r="J134" s="214"/>
      <c r="K134" s="214"/>
      <c r="L134" s="214"/>
      <c r="M134" s="214"/>
      <c r="N134" s="214"/>
      <c r="O134" s="214"/>
      <c r="P134" s="214"/>
      <c r="Q134" s="214"/>
      <c r="R134" s="214"/>
      <c r="S134" s="214"/>
      <c r="T134" s="214"/>
      <c r="U134" s="214"/>
      <c r="V134" s="214"/>
      <c r="W134" s="214"/>
      <c r="X134" s="214"/>
      <c r="Y134" s="214"/>
      <c r="Z134" s="214"/>
      <c r="AA134" s="214"/>
      <c r="AB134" s="214"/>
      <c r="AC134" s="214"/>
      <c r="AD134" s="214"/>
      <c r="AE134" s="214"/>
      <c r="AF134" s="214"/>
      <c r="AG134" s="214"/>
      <c r="AH134" s="214"/>
      <c r="AI134" s="214"/>
      <c r="AJ134" s="214"/>
      <c r="AK134" s="214"/>
      <c r="AL134" s="214"/>
      <c r="AM134" s="214"/>
      <c r="AN134" s="214"/>
      <c r="AO134" s="214"/>
      <c r="AP134" s="214"/>
      <c r="AQ134" s="214"/>
      <c r="AR134" s="214"/>
      <c r="AS134" s="214"/>
      <c r="AT134" s="214"/>
      <c r="AU134" s="214"/>
      <c r="AV134" s="214"/>
      <c r="AW134" s="214"/>
      <c r="AX134" s="214"/>
      <c r="AY134" s="214"/>
      <c r="AZ134" s="214"/>
      <c r="BA134" s="214"/>
      <c r="BB134" s="214"/>
      <c r="BC134" s="214"/>
      <c r="BD134" s="214"/>
      <c r="BE134" s="214"/>
      <c r="BF134" s="214"/>
      <c r="BG134" s="214"/>
      <c r="BH134" s="214"/>
      <c r="BI134" s="214"/>
      <c r="BJ134" s="214"/>
      <c r="BK134" s="214"/>
      <c r="BL134" s="214"/>
      <c r="BM134" s="214"/>
      <c r="BN134" s="214"/>
      <c r="BO134" s="214"/>
      <c r="BP134" s="214"/>
      <c r="BQ134" s="214"/>
      <c r="BR134" s="214"/>
    </row>
    <row r="135" spans="1:70" s="182" customFormat="1" x14ac:dyDescent="0.2">
      <c r="A135" s="214"/>
      <c r="B135" s="215"/>
      <c r="C135" s="215"/>
      <c r="D135" s="214"/>
      <c r="E135" s="214"/>
      <c r="F135" s="214"/>
      <c r="G135" s="214"/>
      <c r="H135" s="214"/>
      <c r="I135" s="214"/>
      <c r="J135" s="214"/>
      <c r="K135" s="214"/>
      <c r="L135" s="214"/>
      <c r="M135" s="215"/>
      <c r="N135" s="214"/>
      <c r="O135" s="214"/>
      <c r="P135" s="214"/>
      <c r="Q135" s="214"/>
      <c r="R135" s="214"/>
      <c r="S135" s="214"/>
      <c r="T135" s="214"/>
      <c r="U135" s="214"/>
      <c r="V135" s="214"/>
      <c r="W135" s="214"/>
      <c r="X135" s="214"/>
      <c r="Y135" s="214"/>
      <c r="Z135" s="214"/>
      <c r="AA135" s="214"/>
      <c r="AB135" s="214"/>
      <c r="AC135" s="214"/>
      <c r="AD135" s="214"/>
      <c r="AE135" s="214"/>
      <c r="AF135" s="214"/>
      <c r="AG135" s="214"/>
      <c r="AH135" s="214"/>
      <c r="AI135" s="214"/>
      <c r="AJ135" s="214"/>
      <c r="AK135" s="214"/>
      <c r="AL135" s="214"/>
      <c r="AM135" s="214"/>
      <c r="AN135" s="214"/>
      <c r="AO135" s="214"/>
      <c r="AP135" s="214"/>
      <c r="AQ135" s="214"/>
      <c r="AR135" s="214"/>
      <c r="AS135" s="214"/>
      <c r="AT135" s="214"/>
      <c r="AU135" s="214"/>
      <c r="AV135" s="214"/>
      <c r="AW135" s="214"/>
      <c r="AX135" s="214"/>
      <c r="AY135" s="214"/>
      <c r="AZ135" s="214"/>
      <c r="BA135" s="214"/>
      <c r="BB135" s="214"/>
      <c r="BC135" s="214"/>
      <c r="BD135" s="214"/>
      <c r="BE135" s="214"/>
      <c r="BF135" s="214"/>
      <c r="BG135" s="214"/>
      <c r="BH135" s="214"/>
      <c r="BI135" s="214"/>
      <c r="BJ135" s="214"/>
      <c r="BK135" s="214"/>
      <c r="BL135" s="214"/>
      <c r="BM135" s="214"/>
      <c r="BN135" s="214"/>
      <c r="BO135" s="214"/>
      <c r="BP135" s="214"/>
      <c r="BQ135" s="214"/>
      <c r="BR135" s="214"/>
    </row>
    <row r="136" spans="1:70" s="182" customFormat="1" x14ac:dyDescent="0.2">
      <c r="A136" s="214"/>
      <c r="B136" s="215"/>
      <c r="C136" s="215"/>
      <c r="D136" s="214"/>
      <c r="E136" s="214"/>
      <c r="F136" s="214"/>
      <c r="G136" s="214"/>
      <c r="H136" s="214"/>
      <c r="I136" s="214"/>
      <c r="J136" s="214"/>
      <c r="K136" s="214"/>
      <c r="L136" s="214"/>
      <c r="M136" s="215"/>
      <c r="N136" s="214"/>
      <c r="O136" s="214"/>
      <c r="P136" s="214"/>
      <c r="Q136" s="214"/>
      <c r="R136" s="214"/>
      <c r="S136" s="214"/>
      <c r="T136" s="214"/>
      <c r="U136" s="214"/>
      <c r="V136" s="214"/>
      <c r="W136" s="214"/>
      <c r="X136" s="214"/>
      <c r="Y136" s="214"/>
      <c r="Z136" s="214"/>
      <c r="AA136" s="214"/>
      <c r="AB136" s="214"/>
      <c r="AC136" s="214"/>
      <c r="AD136" s="214"/>
      <c r="AE136" s="214"/>
      <c r="AF136" s="214"/>
      <c r="AG136" s="214"/>
      <c r="AH136" s="214"/>
      <c r="AI136" s="214"/>
      <c r="AJ136" s="214"/>
      <c r="AK136" s="214"/>
      <c r="AL136" s="214"/>
      <c r="AM136" s="214"/>
      <c r="AN136" s="214"/>
      <c r="AO136" s="214"/>
      <c r="AP136" s="214"/>
      <c r="AQ136" s="214"/>
      <c r="AR136" s="214"/>
      <c r="AS136" s="214"/>
      <c r="AT136" s="214"/>
      <c r="AU136" s="214"/>
      <c r="AV136" s="214"/>
      <c r="AW136" s="214"/>
      <c r="AX136" s="214"/>
      <c r="AY136" s="214"/>
      <c r="AZ136" s="214"/>
      <c r="BA136" s="214"/>
      <c r="BB136" s="214"/>
      <c r="BC136" s="214"/>
      <c r="BD136" s="214"/>
      <c r="BE136" s="214"/>
      <c r="BF136" s="214"/>
      <c r="BG136" s="214"/>
      <c r="BH136" s="214"/>
      <c r="BI136" s="214"/>
      <c r="BJ136" s="214"/>
      <c r="BK136" s="214"/>
      <c r="BL136" s="214"/>
      <c r="BM136" s="214"/>
      <c r="BN136" s="214"/>
      <c r="BO136" s="214"/>
      <c r="BP136" s="214"/>
      <c r="BQ136" s="214"/>
      <c r="BR136" s="214"/>
    </row>
    <row r="137" spans="1:70" s="182" customFormat="1" x14ac:dyDescent="0.2">
      <c r="A137" s="214"/>
      <c r="B137" s="215"/>
      <c r="C137" s="215"/>
      <c r="D137" s="214"/>
      <c r="E137" s="214"/>
      <c r="F137" s="214"/>
      <c r="G137" s="214"/>
      <c r="H137" s="214"/>
      <c r="I137" s="214"/>
      <c r="J137" s="214"/>
      <c r="K137" s="214"/>
      <c r="L137" s="214"/>
      <c r="M137" s="215"/>
      <c r="N137" s="214"/>
      <c r="O137" s="214"/>
      <c r="P137" s="214"/>
      <c r="Q137" s="214"/>
      <c r="R137" s="214"/>
      <c r="S137" s="214"/>
      <c r="T137" s="214"/>
      <c r="U137" s="214"/>
      <c r="V137" s="214"/>
      <c r="W137" s="214"/>
      <c r="X137" s="214"/>
      <c r="Y137" s="214"/>
      <c r="Z137" s="214"/>
      <c r="AA137" s="214"/>
      <c r="AB137" s="214"/>
      <c r="AC137" s="214"/>
      <c r="AD137" s="214"/>
      <c r="AE137" s="214"/>
      <c r="AF137" s="214"/>
      <c r="AG137" s="214"/>
      <c r="AH137" s="214"/>
      <c r="AI137" s="214"/>
      <c r="AJ137" s="214"/>
      <c r="AK137" s="214"/>
      <c r="AL137" s="214"/>
      <c r="AM137" s="214"/>
      <c r="AN137" s="214"/>
      <c r="AO137" s="214"/>
      <c r="AP137" s="214"/>
      <c r="AQ137" s="214"/>
      <c r="AR137" s="214"/>
      <c r="AS137" s="214"/>
      <c r="AT137" s="214"/>
      <c r="AU137" s="214"/>
      <c r="AV137" s="214"/>
      <c r="AW137" s="214"/>
      <c r="AX137" s="214"/>
      <c r="AY137" s="214"/>
      <c r="AZ137" s="214"/>
      <c r="BA137" s="214"/>
      <c r="BB137" s="214"/>
      <c r="BC137" s="214"/>
      <c r="BD137" s="214"/>
      <c r="BE137" s="214"/>
      <c r="BF137" s="214"/>
      <c r="BG137" s="214"/>
      <c r="BH137" s="214"/>
      <c r="BI137" s="214"/>
      <c r="BJ137" s="214"/>
      <c r="BK137" s="214"/>
      <c r="BL137" s="214"/>
      <c r="BM137" s="214"/>
      <c r="BN137" s="214"/>
      <c r="BO137" s="214"/>
      <c r="BP137" s="214"/>
      <c r="BQ137" s="214"/>
      <c r="BR137" s="214"/>
    </row>
    <row r="138" spans="1:70" s="182" customFormat="1" x14ac:dyDescent="0.2">
      <c r="A138" s="214"/>
      <c r="B138" s="215"/>
      <c r="C138" s="215"/>
      <c r="D138" s="214"/>
      <c r="E138" s="214"/>
      <c r="F138" s="214"/>
      <c r="G138" s="214"/>
      <c r="H138" s="214"/>
      <c r="I138" s="214"/>
      <c r="J138" s="214"/>
      <c r="K138" s="214"/>
      <c r="L138" s="214"/>
      <c r="M138" s="215"/>
      <c r="N138" s="214"/>
      <c r="O138" s="214"/>
      <c r="P138" s="214"/>
      <c r="Q138" s="214"/>
      <c r="R138" s="214"/>
      <c r="S138" s="214"/>
      <c r="T138" s="214"/>
      <c r="U138" s="214"/>
      <c r="V138" s="214"/>
      <c r="W138" s="214"/>
      <c r="X138" s="214"/>
      <c r="Y138" s="214"/>
      <c r="Z138" s="214"/>
      <c r="AA138" s="214"/>
      <c r="AB138" s="214"/>
      <c r="AC138" s="214"/>
      <c r="AD138" s="214"/>
      <c r="AE138" s="214"/>
      <c r="AF138" s="214"/>
      <c r="AG138" s="214"/>
      <c r="AH138" s="214"/>
      <c r="AI138" s="214"/>
      <c r="AJ138" s="214"/>
      <c r="AK138" s="214"/>
      <c r="AL138" s="214"/>
      <c r="AM138" s="214"/>
      <c r="AN138" s="214"/>
      <c r="AO138" s="214"/>
      <c r="AP138" s="214"/>
      <c r="AQ138" s="214"/>
      <c r="AR138" s="214"/>
      <c r="AS138" s="214"/>
      <c r="AT138" s="214"/>
      <c r="AU138" s="214"/>
      <c r="AV138" s="214"/>
      <c r="AW138" s="214"/>
      <c r="AX138" s="214"/>
      <c r="AY138" s="214"/>
      <c r="AZ138" s="214"/>
      <c r="BA138" s="214"/>
      <c r="BB138" s="214"/>
      <c r="BC138" s="214"/>
      <c r="BD138" s="214"/>
      <c r="BE138" s="214"/>
      <c r="BF138" s="214"/>
      <c r="BG138" s="214"/>
      <c r="BH138" s="214"/>
      <c r="BI138" s="214"/>
      <c r="BJ138" s="214"/>
      <c r="BK138" s="214"/>
      <c r="BL138" s="214"/>
      <c r="BM138" s="214"/>
      <c r="BN138" s="214"/>
      <c r="BO138" s="214"/>
      <c r="BP138" s="214"/>
      <c r="BQ138" s="214"/>
      <c r="BR138" s="214"/>
    </row>
    <row r="139" spans="1:70" s="182" customFormat="1" x14ac:dyDescent="0.2">
      <c r="A139" s="214"/>
      <c r="B139" s="215"/>
      <c r="C139" s="215"/>
      <c r="D139" s="214"/>
      <c r="E139" s="214"/>
      <c r="F139" s="214"/>
      <c r="G139" s="214"/>
      <c r="H139" s="214"/>
      <c r="I139" s="214"/>
      <c r="J139" s="214"/>
      <c r="K139" s="214"/>
      <c r="L139" s="214"/>
      <c r="M139" s="215"/>
      <c r="N139" s="214"/>
      <c r="O139" s="214"/>
      <c r="P139" s="214"/>
      <c r="Q139" s="214"/>
      <c r="R139" s="214"/>
      <c r="S139" s="214"/>
      <c r="T139" s="214"/>
      <c r="U139" s="214"/>
      <c r="V139" s="214"/>
      <c r="W139" s="214"/>
      <c r="X139" s="214"/>
      <c r="Y139" s="214"/>
      <c r="Z139" s="214"/>
      <c r="AA139" s="214"/>
      <c r="AB139" s="214"/>
      <c r="AC139" s="214"/>
      <c r="AD139" s="214"/>
      <c r="AE139" s="214"/>
      <c r="AF139" s="214"/>
      <c r="AG139" s="214"/>
      <c r="AH139" s="214"/>
      <c r="AI139" s="214"/>
      <c r="AJ139" s="214"/>
      <c r="AK139" s="214"/>
      <c r="AL139" s="214"/>
      <c r="AM139" s="214"/>
      <c r="AN139" s="214"/>
      <c r="AO139" s="214"/>
      <c r="AP139" s="214"/>
      <c r="AQ139" s="214"/>
      <c r="AR139" s="214"/>
      <c r="AS139" s="214"/>
      <c r="AT139" s="214"/>
      <c r="AU139" s="214"/>
      <c r="AV139" s="214"/>
      <c r="AW139" s="214"/>
      <c r="AX139" s="214"/>
      <c r="AY139" s="214"/>
      <c r="AZ139" s="214"/>
      <c r="BA139" s="214"/>
      <c r="BB139" s="214"/>
      <c r="BC139" s="214"/>
      <c r="BD139" s="214"/>
      <c r="BE139" s="214"/>
      <c r="BF139" s="214"/>
      <c r="BG139" s="214"/>
      <c r="BH139" s="214"/>
      <c r="BI139" s="214"/>
      <c r="BJ139" s="214"/>
      <c r="BK139" s="214"/>
      <c r="BL139" s="214"/>
      <c r="BM139" s="214"/>
      <c r="BN139" s="214"/>
      <c r="BO139" s="214"/>
      <c r="BP139" s="214"/>
      <c r="BQ139" s="214"/>
      <c r="BR139" s="214"/>
    </row>
    <row r="140" spans="1:70" s="182" customFormat="1" x14ac:dyDescent="0.2">
      <c r="A140" s="214"/>
      <c r="B140" s="215"/>
      <c r="C140" s="215"/>
      <c r="D140" s="214"/>
      <c r="E140" s="214"/>
      <c r="F140" s="214"/>
      <c r="G140" s="214"/>
      <c r="H140" s="214"/>
      <c r="I140" s="214"/>
      <c r="J140" s="214"/>
      <c r="K140" s="214"/>
      <c r="L140" s="214"/>
      <c r="M140" s="215"/>
      <c r="N140" s="214"/>
      <c r="O140" s="214"/>
      <c r="P140" s="214"/>
      <c r="Q140" s="214"/>
      <c r="R140" s="214"/>
      <c r="S140" s="214"/>
      <c r="T140" s="214"/>
      <c r="U140" s="214"/>
      <c r="V140" s="214"/>
      <c r="W140" s="214"/>
      <c r="X140" s="214"/>
      <c r="Y140" s="214"/>
      <c r="Z140" s="214"/>
      <c r="AA140" s="214"/>
      <c r="AB140" s="214"/>
      <c r="AC140" s="214"/>
      <c r="AD140" s="214"/>
      <c r="AE140" s="214"/>
      <c r="AF140" s="214"/>
      <c r="AG140" s="214"/>
      <c r="AH140" s="214"/>
      <c r="AI140" s="214"/>
      <c r="AJ140" s="214"/>
      <c r="AK140" s="214"/>
      <c r="AL140" s="214"/>
      <c r="AM140" s="214"/>
      <c r="AN140" s="214"/>
      <c r="AO140" s="214"/>
      <c r="AP140" s="214"/>
      <c r="AQ140" s="214"/>
      <c r="AR140" s="214"/>
      <c r="AS140" s="214"/>
      <c r="AT140" s="214"/>
      <c r="AU140" s="214"/>
      <c r="AV140" s="214"/>
      <c r="AW140" s="214"/>
      <c r="AX140" s="214"/>
      <c r="AY140" s="214"/>
      <c r="AZ140" s="214"/>
      <c r="BA140" s="214"/>
      <c r="BB140" s="214"/>
      <c r="BC140" s="214"/>
      <c r="BD140" s="214"/>
      <c r="BE140" s="214"/>
      <c r="BF140" s="214"/>
      <c r="BG140" s="214"/>
      <c r="BH140" s="214"/>
      <c r="BI140" s="214"/>
      <c r="BJ140" s="214"/>
      <c r="BK140" s="214"/>
      <c r="BL140" s="214"/>
      <c r="BM140" s="214"/>
      <c r="BN140" s="214"/>
      <c r="BO140" s="214"/>
      <c r="BP140" s="214"/>
      <c r="BQ140" s="214"/>
      <c r="BR140" s="214"/>
    </row>
    <row r="141" spans="1:70" s="182" customFormat="1" x14ac:dyDescent="0.2">
      <c r="A141" s="214"/>
      <c r="B141" s="215"/>
      <c r="C141" s="215"/>
      <c r="D141" s="214"/>
      <c r="E141" s="214"/>
      <c r="F141" s="214"/>
      <c r="G141" s="214"/>
      <c r="H141" s="214"/>
      <c r="I141" s="214"/>
      <c r="J141" s="214"/>
      <c r="K141" s="214"/>
      <c r="L141" s="214"/>
      <c r="M141" s="215"/>
      <c r="N141" s="214"/>
      <c r="O141" s="214"/>
      <c r="P141" s="214"/>
      <c r="Q141" s="214"/>
      <c r="R141" s="214"/>
      <c r="S141" s="214"/>
      <c r="T141" s="214"/>
      <c r="U141" s="214"/>
      <c r="V141" s="214"/>
      <c r="W141" s="214"/>
      <c r="X141" s="214"/>
      <c r="Y141" s="214"/>
      <c r="Z141" s="214"/>
      <c r="AA141" s="214"/>
      <c r="AB141" s="214"/>
      <c r="AC141" s="214"/>
      <c r="AD141" s="214"/>
      <c r="AE141" s="214"/>
      <c r="AF141" s="214"/>
      <c r="AG141" s="214"/>
      <c r="AH141" s="214"/>
      <c r="AI141" s="214"/>
      <c r="AJ141" s="214"/>
      <c r="AK141" s="214"/>
      <c r="AL141" s="214"/>
      <c r="AM141" s="214"/>
      <c r="AN141" s="214"/>
      <c r="AO141" s="214"/>
      <c r="AP141" s="214"/>
      <c r="AQ141" s="214"/>
      <c r="AR141" s="214"/>
      <c r="AS141" s="214"/>
      <c r="AT141" s="214"/>
      <c r="AU141" s="214"/>
      <c r="AV141" s="214"/>
      <c r="AW141" s="214"/>
      <c r="AX141" s="214"/>
      <c r="AY141" s="214"/>
      <c r="AZ141" s="214"/>
      <c r="BA141" s="214"/>
      <c r="BB141" s="214"/>
      <c r="BC141" s="214"/>
      <c r="BD141" s="214"/>
      <c r="BE141" s="214"/>
      <c r="BF141" s="214"/>
      <c r="BG141" s="214"/>
      <c r="BH141" s="214"/>
      <c r="BI141" s="214"/>
      <c r="BJ141" s="214"/>
      <c r="BK141" s="214"/>
      <c r="BL141" s="214"/>
      <c r="BM141" s="214"/>
      <c r="BN141" s="214"/>
      <c r="BO141" s="214"/>
      <c r="BP141" s="214"/>
      <c r="BQ141" s="214"/>
      <c r="BR141" s="214"/>
    </row>
    <row r="142" spans="1:70" s="182" customFormat="1" x14ac:dyDescent="0.2">
      <c r="B142" s="243"/>
      <c r="C142" s="243"/>
      <c r="M142" s="243"/>
      <c r="N142" s="214"/>
      <c r="O142" s="214"/>
      <c r="P142" s="214"/>
      <c r="Q142" s="214"/>
      <c r="R142" s="214"/>
      <c r="S142" s="214"/>
      <c r="T142" s="214"/>
      <c r="U142" s="214"/>
      <c r="V142" s="214"/>
      <c r="W142" s="214"/>
      <c r="X142" s="214"/>
      <c r="Y142" s="214"/>
      <c r="Z142" s="214"/>
      <c r="AA142" s="214"/>
      <c r="AB142" s="214"/>
      <c r="AC142" s="214"/>
      <c r="AD142" s="214"/>
      <c r="AE142" s="214"/>
      <c r="AF142" s="214"/>
      <c r="AG142" s="214"/>
      <c r="AH142" s="214"/>
      <c r="AI142" s="214"/>
      <c r="AJ142" s="214"/>
      <c r="AK142" s="214"/>
      <c r="AL142" s="214"/>
      <c r="AM142" s="214"/>
      <c r="AN142" s="214"/>
      <c r="AO142" s="214"/>
      <c r="AP142" s="214"/>
      <c r="AQ142" s="214"/>
      <c r="AR142" s="214"/>
      <c r="AS142" s="214"/>
      <c r="AT142" s="214"/>
      <c r="AU142" s="214"/>
      <c r="AV142" s="214"/>
      <c r="AW142" s="214"/>
      <c r="AX142" s="214"/>
      <c r="AY142" s="214"/>
      <c r="AZ142" s="214"/>
      <c r="BA142" s="214"/>
      <c r="BB142" s="214"/>
      <c r="BC142" s="214"/>
      <c r="BD142" s="214"/>
      <c r="BE142" s="214"/>
      <c r="BF142" s="214"/>
      <c r="BG142" s="214"/>
      <c r="BH142" s="214"/>
      <c r="BI142" s="214"/>
      <c r="BJ142" s="214"/>
      <c r="BK142" s="214"/>
      <c r="BL142" s="214"/>
      <c r="BM142" s="214"/>
      <c r="BN142" s="214"/>
      <c r="BO142" s="214"/>
      <c r="BP142" s="214"/>
      <c r="BQ142" s="214"/>
      <c r="BR142" s="214"/>
    </row>
    <row r="143" spans="1:70" s="182" customFormat="1" x14ac:dyDescent="0.2">
      <c r="B143" s="243"/>
      <c r="C143" s="243"/>
      <c r="M143" s="243"/>
      <c r="N143" s="214"/>
      <c r="O143" s="214"/>
      <c r="P143" s="214"/>
      <c r="Q143" s="214"/>
      <c r="R143" s="214"/>
      <c r="S143" s="214"/>
      <c r="T143" s="214"/>
      <c r="U143" s="214"/>
      <c r="V143" s="214"/>
      <c r="W143" s="214"/>
      <c r="X143" s="214"/>
      <c r="Y143" s="214"/>
      <c r="Z143" s="214"/>
      <c r="AA143" s="214"/>
      <c r="AB143" s="214"/>
      <c r="AC143" s="214"/>
      <c r="AD143" s="214"/>
      <c r="AE143" s="214"/>
      <c r="AF143" s="214"/>
      <c r="AG143" s="214"/>
      <c r="AH143" s="214"/>
      <c r="AI143" s="214"/>
      <c r="AJ143" s="214"/>
      <c r="AK143" s="214"/>
      <c r="AL143" s="214"/>
      <c r="AM143" s="214"/>
      <c r="AN143" s="214"/>
      <c r="AO143" s="214"/>
      <c r="AP143" s="214"/>
      <c r="AQ143" s="214"/>
      <c r="AR143" s="214"/>
      <c r="AS143" s="214"/>
      <c r="AT143" s="214"/>
      <c r="AU143" s="214"/>
      <c r="AV143" s="214"/>
      <c r="AW143" s="214"/>
      <c r="AX143" s="214"/>
      <c r="AY143" s="214"/>
      <c r="AZ143" s="214"/>
      <c r="BA143" s="214"/>
      <c r="BB143" s="214"/>
      <c r="BC143" s="214"/>
      <c r="BD143" s="214"/>
      <c r="BE143" s="214"/>
      <c r="BF143" s="214"/>
      <c r="BG143" s="214"/>
      <c r="BH143" s="214"/>
      <c r="BI143" s="214"/>
      <c r="BJ143" s="214"/>
      <c r="BK143" s="214"/>
      <c r="BL143" s="214"/>
      <c r="BM143" s="214"/>
      <c r="BN143" s="214"/>
      <c r="BO143" s="214"/>
      <c r="BP143" s="214"/>
      <c r="BQ143" s="214"/>
      <c r="BR143" s="214"/>
    </row>
    <row r="144" spans="1:70" s="182" customFormat="1" x14ac:dyDescent="0.2">
      <c r="B144" s="243"/>
      <c r="C144" s="243"/>
      <c r="M144" s="243"/>
      <c r="N144" s="214"/>
      <c r="O144" s="214"/>
      <c r="P144" s="214"/>
      <c r="Q144" s="214"/>
      <c r="R144" s="214"/>
      <c r="S144" s="214"/>
      <c r="T144" s="214"/>
      <c r="U144" s="214"/>
      <c r="V144" s="214"/>
      <c r="W144" s="214"/>
      <c r="X144" s="214"/>
      <c r="Y144" s="214"/>
      <c r="Z144" s="214"/>
      <c r="AA144" s="214"/>
      <c r="AB144" s="214"/>
      <c r="AC144" s="214"/>
      <c r="AD144" s="214"/>
      <c r="AE144" s="214"/>
      <c r="AF144" s="214"/>
      <c r="AG144" s="214"/>
      <c r="AH144" s="214"/>
      <c r="AI144" s="214"/>
      <c r="AJ144" s="214"/>
      <c r="AK144" s="214"/>
      <c r="AL144" s="214"/>
      <c r="AM144" s="214"/>
      <c r="AN144" s="214"/>
      <c r="AO144" s="214"/>
      <c r="AP144" s="214"/>
      <c r="AQ144" s="214"/>
      <c r="AR144" s="214"/>
      <c r="AS144" s="214"/>
    </row>
    <row r="145" spans="2:45" s="182" customFormat="1" x14ac:dyDescent="0.2">
      <c r="B145" s="243"/>
      <c r="C145" s="243"/>
      <c r="M145" s="243"/>
      <c r="N145" s="214"/>
      <c r="O145" s="214"/>
      <c r="P145" s="214"/>
      <c r="Q145" s="214"/>
      <c r="R145" s="214"/>
      <c r="S145" s="214"/>
      <c r="T145" s="214"/>
      <c r="U145" s="214"/>
      <c r="V145" s="214"/>
      <c r="W145" s="214"/>
      <c r="X145" s="214"/>
      <c r="Y145" s="214"/>
      <c r="Z145" s="214"/>
      <c r="AA145" s="214"/>
      <c r="AB145" s="214"/>
      <c r="AC145" s="214"/>
      <c r="AD145" s="214"/>
      <c r="AE145" s="214"/>
      <c r="AF145" s="214"/>
      <c r="AG145" s="214"/>
      <c r="AH145" s="214"/>
      <c r="AI145" s="214"/>
      <c r="AJ145" s="214"/>
      <c r="AK145" s="214"/>
      <c r="AL145" s="214"/>
      <c r="AM145" s="214"/>
      <c r="AN145" s="214"/>
      <c r="AO145" s="214"/>
      <c r="AP145" s="214"/>
      <c r="AQ145" s="214"/>
      <c r="AR145" s="214"/>
      <c r="AS145" s="214"/>
    </row>
    <row r="146" spans="2:45" s="182" customFormat="1" x14ac:dyDescent="0.2">
      <c r="B146" s="243"/>
      <c r="C146" s="243"/>
      <c r="M146" s="243"/>
    </row>
    <row r="147" spans="2:45" s="182" customFormat="1" x14ac:dyDescent="0.2">
      <c r="B147" s="243"/>
      <c r="C147" s="243"/>
      <c r="M147" s="243"/>
    </row>
    <row r="148" spans="2:45" s="182" customFormat="1" x14ac:dyDescent="0.2">
      <c r="B148" s="243"/>
      <c r="C148" s="243"/>
      <c r="M148" s="243"/>
    </row>
    <row r="149" spans="2:45" s="182" customFormat="1" x14ac:dyDescent="0.2">
      <c r="B149" s="243"/>
      <c r="C149" s="243"/>
      <c r="M149" s="243"/>
    </row>
    <row r="150" spans="2:45" s="182" customFormat="1" x14ac:dyDescent="0.2">
      <c r="B150" s="243"/>
      <c r="C150" s="243"/>
      <c r="M150" s="243"/>
    </row>
    <row r="151" spans="2:45" s="182" customFormat="1" x14ac:dyDescent="0.2">
      <c r="B151" s="243"/>
      <c r="C151" s="243"/>
      <c r="M151" s="243"/>
    </row>
    <row r="152" spans="2:45" s="182" customFormat="1" x14ac:dyDescent="0.2">
      <c r="B152" s="243"/>
      <c r="C152" s="243"/>
      <c r="M152" s="243"/>
    </row>
    <row r="153" spans="2:45" s="182" customFormat="1" x14ac:dyDescent="0.2">
      <c r="B153" s="243"/>
      <c r="C153" s="243"/>
      <c r="M153" s="243"/>
    </row>
    <row r="154" spans="2:45" s="182" customFormat="1" x14ac:dyDescent="0.2">
      <c r="B154" s="243"/>
      <c r="C154" s="243"/>
      <c r="M154" s="243"/>
    </row>
    <row r="155" spans="2:45" s="182" customFormat="1" x14ac:dyDescent="0.2">
      <c r="B155" s="243"/>
      <c r="C155" s="243"/>
      <c r="M155" s="243"/>
    </row>
    <row r="156" spans="2:45" s="182" customFormat="1" x14ac:dyDescent="0.2">
      <c r="B156" s="243"/>
      <c r="C156" s="243"/>
      <c r="M156" s="243"/>
    </row>
    <row r="157" spans="2:45" s="182" customFormat="1" x14ac:dyDescent="0.2">
      <c r="B157" s="243"/>
      <c r="C157" s="243"/>
      <c r="D157" s="243"/>
      <c r="E157" s="243"/>
      <c r="F157" s="243"/>
      <c r="G157" s="243"/>
      <c r="H157" s="243"/>
      <c r="I157" s="243"/>
      <c r="J157" s="243"/>
      <c r="K157" s="243"/>
      <c r="L157" s="243"/>
      <c r="M157" s="243"/>
    </row>
    <row r="158" spans="2:45" s="182" customFormat="1" x14ac:dyDescent="0.2">
      <c r="B158" s="243"/>
      <c r="C158" s="243"/>
      <c r="D158" s="243"/>
      <c r="E158" s="243"/>
      <c r="F158" s="243"/>
      <c r="G158" s="243"/>
      <c r="H158" s="243"/>
      <c r="I158" s="243"/>
      <c r="J158" s="243"/>
      <c r="K158" s="243"/>
      <c r="L158" s="243"/>
      <c r="M158" s="243"/>
    </row>
    <row r="159" spans="2:45" s="182" customFormat="1" x14ac:dyDescent="0.2">
      <c r="B159" s="243"/>
      <c r="C159" s="243"/>
      <c r="D159" s="243"/>
      <c r="E159" s="243"/>
      <c r="F159" s="243"/>
      <c r="G159" s="243"/>
      <c r="H159" s="243"/>
      <c r="I159" s="243"/>
      <c r="J159" s="243"/>
      <c r="K159" s="243"/>
      <c r="L159" s="243"/>
      <c r="M159" s="243"/>
    </row>
    <row r="160" spans="2:45" s="182" customFormat="1" x14ac:dyDescent="0.2">
      <c r="B160" s="243"/>
      <c r="C160" s="243"/>
      <c r="D160" s="243"/>
      <c r="E160" s="243"/>
      <c r="F160" s="243"/>
      <c r="G160" s="243"/>
      <c r="H160" s="243"/>
      <c r="I160" s="243"/>
      <c r="J160" s="243"/>
      <c r="K160" s="243"/>
      <c r="L160" s="243"/>
      <c r="M160" s="243"/>
    </row>
    <row r="161" spans="2:13" s="182" customFormat="1" x14ac:dyDescent="0.2">
      <c r="B161" s="243"/>
      <c r="C161" s="243"/>
      <c r="D161" s="243"/>
      <c r="E161" s="243"/>
      <c r="F161" s="243"/>
      <c r="G161" s="243"/>
      <c r="H161" s="243"/>
      <c r="I161" s="243"/>
      <c r="J161" s="243"/>
      <c r="K161" s="243"/>
      <c r="L161" s="243"/>
      <c r="M161" s="243"/>
    </row>
    <row r="162" spans="2:13" s="182" customFormat="1" x14ac:dyDescent="0.2">
      <c r="B162" s="243"/>
      <c r="C162" s="243"/>
      <c r="D162" s="243"/>
      <c r="E162" s="243"/>
      <c r="F162" s="243"/>
      <c r="G162" s="243"/>
      <c r="H162" s="243"/>
      <c r="I162" s="243"/>
      <c r="J162" s="243"/>
      <c r="K162" s="243"/>
      <c r="L162" s="243"/>
      <c r="M162" s="243"/>
    </row>
    <row r="163" spans="2:13" x14ac:dyDescent="0.2">
      <c r="B163" s="229"/>
      <c r="C163" s="229"/>
      <c r="D163" s="229"/>
      <c r="E163" s="229"/>
      <c r="F163" s="229"/>
      <c r="G163" s="229"/>
      <c r="H163" s="229"/>
      <c r="I163" s="229"/>
      <c r="J163" s="229"/>
      <c r="K163" s="229"/>
      <c r="L163" s="229"/>
      <c r="M163" s="229"/>
    </row>
    <row r="164" spans="2:13" x14ac:dyDescent="0.2">
      <c r="B164" s="229"/>
      <c r="C164" s="229"/>
      <c r="D164" s="229"/>
      <c r="E164" s="229"/>
      <c r="F164" s="229"/>
      <c r="G164" s="229"/>
      <c r="H164" s="229"/>
      <c r="I164" s="229"/>
      <c r="J164" s="229"/>
      <c r="K164" s="229"/>
      <c r="L164" s="229"/>
      <c r="M164" s="229"/>
    </row>
    <row r="165" spans="2:13" x14ac:dyDescent="0.2">
      <c r="B165" s="229"/>
      <c r="C165" s="229"/>
      <c r="D165" s="229"/>
      <c r="E165" s="229"/>
      <c r="F165" s="229"/>
      <c r="G165" s="229"/>
      <c r="H165" s="229"/>
      <c r="I165" s="229"/>
      <c r="J165" s="229"/>
      <c r="K165" s="229"/>
      <c r="L165" s="229"/>
      <c r="M165" s="229"/>
    </row>
    <row r="166" spans="2:13" x14ac:dyDescent="0.2">
      <c r="B166" s="229"/>
      <c r="C166" s="229"/>
      <c r="D166" s="229"/>
      <c r="E166" s="229"/>
      <c r="F166" s="229"/>
      <c r="G166" s="229"/>
      <c r="H166" s="229"/>
      <c r="I166" s="229"/>
      <c r="J166" s="229"/>
      <c r="K166" s="229"/>
      <c r="L166" s="229"/>
      <c r="M166" s="229"/>
    </row>
  </sheetData>
  <sheetProtection password="C52D" sheet="1" objects="1" scenarios="1" selectLockedCells="1"/>
  <mergeCells count="152">
    <mergeCell ref="N1:N63"/>
    <mergeCell ref="C64:N66"/>
    <mergeCell ref="A1:G3"/>
    <mergeCell ref="H1:L1"/>
    <mergeCell ref="H3:L3"/>
    <mergeCell ref="H2:L2"/>
    <mergeCell ref="C26:E26"/>
    <mergeCell ref="A64:B66"/>
    <mergeCell ref="A49:B54"/>
    <mergeCell ref="A40:B44"/>
    <mergeCell ref="J43:K43"/>
    <mergeCell ref="C27:E27"/>
    <mergeCell ref="H33:J33"/>
    <mergeCell ref="H35:J35"/>
    <mergeCell ref="H63:J63"/>
    <mergeCell ref="K63:L63"/>
    <mergeCell ref="C47:E48"/>
    <mergeCell ref="F47:F48"/>
    <mergeCell ref="C5:E6"/>
    <mergeCell ref="F11:L11"/>
    <mergeCell ref="K22:L22"/>
    <mergeCell ref="K23:L23"/>
    <mergeCell ref="K15:L15"/>
    <mergeCell ref="H21:J21"/>
    <mergeCell ref="K32:L32"/>
    <mergeCell ref="G28:L29"/>
    <mergeCell ref="F18:L18"/>
    <mergeCell ref="H32:J32"/>
    <mergeCell ref="F5:L6"/>
    <mergeCell ref="C4:L4"/>
    <mergeCell ref="C11:E11"/>
    <mergeCell ref="H30:L30"/>
    <mergeCell ref="C10:E10"/>
    <mergeCell ref="F10:L10"/>
    <mergeCell ref="C17:E17"/>
    <mergeCell ref="H22:J22"/>
    <mergeCell ref="H25:J25"/>
    <mergeCell ref="K25:L25"/>
    <mergeCell ref="H24:I24"/>
    <mergeCell ref="H26:I26"/>
    <mergeCell ref="A17:B20"/>
    <mergeCell ref="A4:B14"/>
    <mergeCell ref="A15:B16"/>
    <mergeCell ref="F9:L9"/>
    <mergeCell ref="C13:E13"/>
    <mergeCell ref="F13:L13"/>
    <mergeCell ref="C14:E14"/>
    <mergeCell ref="C12:E12"/>
    <mergeCell ref="F12:L12"/>
    <mergeCell ref="F14:L14"/>
    <mergeCell ref="F7:L8"/>
    <mergeCell ref="C9:E9"/>
    <mergeCell ref="H15:J15"/>
    <mergeCell ref="C7:E8"/>
    <mergeCell ref="F17:L17"/>
    <mergeCell ref="H61:L61"/>
    <mergeCell ref="G59:G62"/>
    <mergeCell ref="C31:E31"/>
    <mergeCell ref="C30:F30"/>
    <mergeCell ref="C15:D16"/>
    <mergeCell ref="C20:E20"/>
    <mergeCell ref="C21:E21"/>
    <mergeCell ref="C28:E28"/>
    <mergeCell ref="K35:L35"/>
    <mergeCell ref="H47:J47"/>
    <mergeCell ref="C57:E57"/>
    <mergeCell ref="C55:E55"/>
    <mergeCell ref="C54:E54"/>
    <mergeCell ref="H62:J62"/>
    <mergeCell ref="H23:J23"/>
    <mergeCell ref="C19:E19"/>
    <mergeCell ref="H42:I42"/>
    <mergeCell ref="J41:K41"/>
    <mergeCell ref="J42:K42"/>
    <mergeCell ref="C18:E18"/>
    <mergeCell ref="J40:K40"/>
    <mergeCell ref="H40:I40"/>
    <mergeCell ref="K62:L62"/>
    <mergeCell ref="K60:L60"/>
    <mergeCell ref="A37:B39"/>
    <mergeCell ref="C42:E42"/>
    <mergeCell ref="C43:E43"/>
    <mergeCell ref="C38:E38"/>
    <mergeCell ref="C39:E39"/>
    <mergeCell ref="G56:G57"/>
    <mergeCell ref="C63:E63"/>
    <mergeCell ref="A45:B48"/>
    <mergeCell ref="C52:E52"/>
    <mergeCell ref="C51:E51"/>
    <mergeCell ref="C58:E58"/>
    <mergeCell ref="A58:B63"/>
    <mergeCell ref="C61:E61"/>
    <mergeCell ref="C59:E59"/>
    <mergeCell ref="C60:E60"/>
    <mergeCell ref="C62:E62"/>
    <mergeCell ref="A56:B57"/>
    <mergeCell ref="C56:E56"/>
    <mergeCell ref="C41:E41"/>
    <mergeCell ref="C53:E53"/>
    <mergeCell ref="C45:E45"/>
    <mergeCell ref="C46:E46"/>
    <mergeCell ref="H60:J60"/>
    <mergeCell ref="K59:L59"/>
    <mergeCell ref="K48:L48"/>
    <mergeCell ref="H59:J59"/>
    <mergeCell ref="H48:J48"/>
    <mergeCell ref="K50:L54"/>
    <mergeCell ref="H50:J54"/>
    <mergeCell ref="K49:L49"/>
    <mergeCell ref="H49:J49"/>
    <mergeCell ref="K56:L56"/>
    <mergeCell ref="K57:L57"/>
    <mergeCell ref="G55:L55"/>
    <mergeCell ref="H56:J56"/>
    <mergeCell ref="H57:J57"/>
    <mergeCell ref="G49:G54"/>
    <mergeCell ref="H37:J37"/>
    <mergeCell ref="K37:L37"/>
    <mergeCell ref="H38:L39"/>
    <mergeCell ref="K36:L36"/>
    <mergeCell ref="C44:E44"/>
    <mergeCell ref="H43:I43"/>
    <mergeCell ref="H41:I41"/>
    <mergeCell ref="C40:E40"/>
    <mergeCell ref="H44:I44"/>
    <mergeCell ref="J44:K44"/>
    <mergeCell ref="C37:E37"/>
    <mergeCell ref="C36:D36"/>
    <mergeCell ref="C35:E35"/>
    <mergeCell ref="M1:M63"/>
    <mergeCell ref="A21:B27"/>
    <mergeCell ref="C22:E22"/>
    <mergeCell ref="A30:B36"/>
    <mergeCell ref="A28:B29"/>
    <mergeCell ref="C49:E49"/>
    <mergeCell ref="C50:E50"/>
    <mergeCell ref="C23:E23"/>
    <mergeCell ref="C24:E24"/>
    <mergeCell ref="C29:E29"/>
    <mergeCell ref="C32:E32"/>
    <mergeCell ref="H27:J27"/>
    <mergeCell ref="K27:L27"/>
    <mergeCell ref="H34:J34"/>
    <mergeCell ref="K33:L33"/>
    <mergeCell ref="K31:L31"/>
    <mergeCell ref="H31:J31"/>
    <mergeCell ref="C33:E33"/>
    <mergeCell ref="C34:E34"/>
    <mergeCell ref="H45:J45"/>
    <mergeCell ref="H46:J46"/>
    <mergeCell ref="K34:L34"/>
    <mergeCell ref="H36:J36"/>
  </mergeCells>
  <phoneticPr fontId="18" type="noConversion"/>
  <conditionalFormatting sqref="C13:L13">
    <cfRule type="expression" dxfId="49" priority="69" stopIfTrue="1">
      <formula>NOT($F$11="Other")</formula>
    </cfRule>
  </conditionalFormatting>
  <conditionalFormatting sqref="H27:L27 H22:L23 H24:H25 J24:L24 K26:L26 K25">
    <cfRule type="expression" dxfId="48" priority="61" stopIfTrue="1">
      <formula>NOT($F$22="User Defined")</formula>
    </cfRule>
  </conditionalFormatting>
  <conditionalFormatting sqref="G41:I41 L41">
    <cfRule type="expression" dxfId="47" priority="58" stopIfTrue="1">
      <formula>$F$41="No"</formula>
    </cfRule>
  </conditionalFormatting>
  <conditionalFormatting sqref="G42:L42">
    <cfRule type="expression" dxfId="46" priority="57" stopIfTrue="1">
      <formula>$F$42="No"</formula>
    </cfRule>
  </conditionalFormatting>
  <conditionalFormatting sqref="G43:L43">
    <cfRule type="expression" dxfId="45" priority="56" stopIfTrue="1">
      <formula>$F$43="No"</formula>
    </cfRule>
  </conditionalFormatting>
  <conditionalFormatting sqref="G28">
    <cfRule type="expression" dxfId="44" priority="55" stopIfTrue="1">
      <formula>$F$29="Yes"</formula>
    </cfRule>
  </conditionalFormatting>
  <conditionalFormatting sqref="H47:L47">
    <cfRule type="expression" dxfId="43" priority="54" stopIfTrue="1">
      <formula>NOT(ef_settings_used = "Dropout Fuse")</formula>
    </cfRule>
  </conditionalFormatting>
  <conditionalFormatting sqref="C23:F23">
    <cfRule type="expression" dxfId="42" priority="53" stopIfTrue="1">
      <formula>NOT(ef_settings_used = "Dropout fuse")</formula>
    </cfRule>
  </conditionalFormatting>
  <conditionalFormatting sqref="H31:L33 H36:L36 H34:H35 K34:K35">
    <cfRule type="expression" dxfId="41" priority="51" stopIfTrue="1">
      <formula>$G$30=FALSE</formula>
    </cfRule>
  </conditionalFormatting>
  <conditionalFormatting sqref="C33:F33">
    <cfRule type="expression" dxfId="40" priority="42" stopIfTrue="1">
      <formula>OR(OR($F$11="Switching Station",$F$11="Padmount Substation"),$F$12="Yes")</formula>
    </cfRule>
  </conditionalFormatting>
  <conditionalFormatting sqref="C12:L12">
    <cfRule type="expression" dxfId="39" priority="41" stopIfTrue="1">
      <formula>OR($F$11="Padmount Substation",$F$11="Switching Station")</formula>
    </cfRule>
  </conditionalFormatting>
  <conditionalFormatting sqref="C55:F55">
    <cfRule type="expression" dxfId="38" priority="40" stopIfTrue="1">
      <formula>$F$28="Separate"</formula>
    </cfRule>
  </conditionalFormatting>
  <conditionalFormatting sqref="C18:L18">
    <cfRule type="expression" dxfId="37" priority="38" stopIfTrue="1">
      <formula>NOT($F$17="Other")</formula>
    </cfRule>
  </conditionalFormatting>
  <conditionalFormatting sqref="H40:I40">
    <cfRule type="expression" dxfId="36" priority="37" stopIfTrue="1">
      <formula>$F$40="No"</formula>
    </cfRule>
  </conditionalFormatting>
  <conditionalFormatting sqref="H59:L59">
    <cfRule type="expression" dxfId="35" priority="36" stopIfTrue="1">
      <formula>OR(OR($F$11="Padmount Substation",$F$11="Switching Station"),$F$12="No")</formula>
    </cfRule>
  </conditionalFormatting>
  <conditionalFormatting sqref="L40">
    <cfRule type="expression" dxfId="34" priority="31" stopIfTrue="1">
      <formula>$F$40="No"</formula>
    </cfRule>
  </conditionalFormatting>
  <conditionalFormatting sqref="G40">
    <cfRule type="expression" dxfId="33" priority="30" stopIfTrue="1">
      <formula>$F$40="No"</formula>
    </cfRule>
  </conditionalFormatting>
  <conditionalFormatting sqref="J41:K41">
    <cfRule type="expression" dxfId="32" priority="29" stopIfTrue="1">
      <formula>$F$41="No"</formula>
    </cfRule>
  </conditionalFormatting>
  <conditionalFormatting sqref="J40:K40">
    <cfRule type="expression" dxfId="31" priority="28" stopIfTrue="1">
      <formula>$F$40="No"</formula>
    </cfRule>
  </conditionalFormatting>
  <conditionalFormatting sqref="G44:L44">
    <cfRule type="expression" dxfId="30" priority="24" stopIfTrue="1">
      <formula>$F$44="No"</formula>
    </cfRule>
  </conditionalFormatting>
  <conditionalFormatting sqref="L24">
    <cfRule type="expression" dxfId="29" priority="21">
      <formula>$K$24="No"</formula>
    </cfRule>
  </conditionalFormatting>
  <conditionalFormatting sqref="J24">
    <cfRule type="expression" dxfId="28" priority="20" stopIfTrue="1">
      <formula>$K$24="No"</formula>
    </cfRule>
  </conditionalFormatting>
  <conditionalFormatting sqref="L26">
    <cfRule type="expression" dxfId="27" priority="19">
      <formula>$K$26="No"</formula>
    </cfRule>
  </conditionalFormatting>
  <conditionalFormatting sqref="H25:L25">
    <cfRule type="expression" dxfId="26" priority="18">
      <formula>$K$24="No"</formula>
    </cfRule>
  </conditionalFormatting>
  <conditionalFormatting sqref="L21">
    <cfRule type="expression" dxfId="25" priority="16">
      <formula>$K$21="No"</formula>
    </cfRule>
  </conditionalFormatting>
  <conditionalFormatting sqref="H26 J26">
    <cfRule type="expression" dxfId="24" priority="15" stopIfTrue="1">
      <formula>NOT($F$22="User Defined")</formula>
    </cfRule>
  </conditionalFormatting>
  <conditionalFormatting sqref="J26">
    <cfRule type="expression" dxfId="23" priority="14" stopIfTrue="1">
      <formula>$K$26="No"</formula>
    </cfRule>
  </conditionalFormatting>
  <conditionalFormatting sqref="K48:L48">
    <cfRule type="expression" dxfId="22" priority="13">
      <formula>$K$48="No"</formula>
    </cfRule>
  </conditionalFormatting>
  <conditionalFormatting sqref="C47:F48">
    <cfRule type="expression" dxfId="21" priority="7">
      <formula>OR($F$29="No",AND($K$48="No",$K$21="Yes"))</formula>
    </cfRule>
  </conditionalFormatting>
  <conditionalFormatting sqref="C45:F45">
    <cfRule type="expression" dxfId="20" priority="5">
      <formula>AND($K$48="No",$K$21="Yes")</formula>
    </cfRule>
  </conditionalFormatting>
  <conditionalFormatting sqref="C46:F46">
    <cfRule type="expression" dxfId="19" priority="4">
      <formula>OR(AND($K$48="No",$K$21="No"),AND($K$48="Yes",$K$21="Yes"))</formula>
    </cfRule>
  </conditionalFormatting>
  <conditionalFormatting sqref="F63">
    <cfRule type="expression" dxfId="18" priority="3">
      <formula>config="Common"</formula>
    </cfRule>
  </conditionalFormatting>
  <conditionalFormatting sqref="C63:E63">
    <cfRule type="expression" dxfId="17" priority="2">
      <formula>config="Common"</formula>
    </cfRule>
  </conditionalFormatting>
  <conditionalFormatting sqref="F36">
    <cfRule type="expression" dxfId="16" priority="1">
      <formula>OR($E$36="No",$E$36="")</formula>
    </cfRule>
  </conditionalFormatting>
  <conditionalFormatting sqref="M1">
    <cfRule type="expression" dxfId="15" priority="70" stopIfTrue="1">
      <formula>IF(AND($K$45="Inf",$F$28="Common"),TRUE,AND($F$55&lt;$F$58,$F$28="Common",$G$95))</formula>
    </cfRule>
    <cfRule type="expression" dxfId="14" priority="71" stopIfTrue="1">
      <formula>AND($F$55&gt;$F$58,$F$28="Common",$F$94)</formula>
    </cfRule>
  </conditionalFormatting>
  <conditionalFormatting sqref="M1:M63">
    <cfRule type="expression" dxfId="13" priority="72">
      <formula>OR(AND($G$30=TRUE,$G$95=FALSE),AND($G$30=FALSE,$L$95=FALSE))</formula>
    </cfRule>
  </conditionalFormatting>
  <dataValidations xWindow="501" yWindow="481" count="37">
    <dataValidation type="list" allowBlank="1" showInputMessage="1" showErrorMessage="1" sqref="F12:L12 K21 K24 K26">
      <formula1>"Yes,No"</formula1>
    </dataValidation>
    <dataValidation allowBlank="1" showInputMessage="1" showErrorMessage="1" promptTitle="Max Touch Voltage (V) " prompt="This value is the difference in potential between the asset (GPR) and the surface of the earth 1m from the asset" sqref="K59:L59"/>
    <dataValidation type="list" allowBlank="1" showInputMessage="1" showErrorMessage="1" promptTitle="Satisfactory? (User Input)" prompt="Does this meet the criteria set out in EDI100?" sqref="K62:L62">
      <formula1>"Yes,No"</formula1>
    </dataValidation>
    <dataValidation allowBlank="1" showInputMessage="1" showErrorMessage="1" promptTitle="Distance to 430V EPR" prompt="This is the distance from the edge of the earth grid to where the EPR is 430V" sqref="F59"/>
    <dataValidation allowBlank="1" showInputMessage="1" showErrorMessage="1" promptTitle="Distance to 1000V EPR" prompt="This is the distance from the edge of the earth grid to where the EPR is 1000V" sqref="F60"/>
    <dataValidation type="list" allowBlank="1" showInputMessage="1" showErrorMessage="1" promptTitle="Feeder Nominal Voltage (kV)" prompt="Please choose the feeder nominal voltage  - 11 kV or 22 kV" sqref="F20">
      <formula1>"11,22"</formula1>
    </dataValidation>
    <dataValidation allowBlank="1" showInputMessage="1" showErrorMessage="1" promptTitle="Soil Resistivity in Ωm at site" sqref="F15:F16"/>
    <dataValidation type="list" allowBlank="1" showErrorMessage="1" promptTitle="Location Category" prompt="Select location category to provide design requirements" sqref="F40:F43">
      <formula1>"Yes,No"</formula1>
    </dataValidation>
    <dataValidation allowBlank="1" showErrorMessage="1" promptTitle="If this value is &quot;No&quot;:" prompt="- For pole mounted substations the clearance time will be the fuse trip time._x000a_- For all other assets, designer will need to either; re-design grid to ensure primary EF trips, OR if location is remote, ensure SEF operates OR consult Network Engineering" sqref="K45"/>
    <dataValidation allowBlank="1" showInputMessage="1" showErrorMessage="1" prompt="Closest point on the earthgrid to the fence." sqref="L41"/>
    <dataValidation allowBlank="1" showInputMessage="1" showErrorMessage="1" prompt="Closest point on the earthgrid to the communication asset" sqref="L42"/>
    <dataValidation allowBlank="1" showErrorMessage="1" promptTitle="Fuse Trip Time" prompt="For pole mounted substations only." sqref="K47"/>
    <dataValidation type="list" allowBlank="1" showInputMessage="1" showErrorMessage="1" promptTitle="Argon Used? (User Input)" prompt="Was Argon used to qualify the safety of the design?_x000a_If Yes, please include the Argon report." sqref="K63:L63">
      <formula1>"Yes,No"</formula1>
    </dataValidation>
    <dataValidation allowBlank="1" showInputMessage="1" showErrorMessage="1" promptTitle="Radius of rod" prompt="Default is 7.5mm for 15mm diameter earth rods." sqref="F31"/>
    <dataValidation allowBlank="1" showInputMessage="1" showErrorMessage="1" promptTitle="Depth the rod is insulated to" prompt="Note: this does not include the exposed electrode_x000a_For assets with conductive components on the surface (eg. Padmount substations, concrete poles etc.) h = 0 should be used for calculation purposes." sqref="F33"/>
    <dataValidation type="list" allowBlank="1" showInputMessage="1" showErrorMessage="1" sqref="F28">
      <formula1>"Separate,Common"</formula1>
    </dataValidation>
    <dataValidation type="list" allowBlank="1" showInputMessage="1" showErrorMessage="1" sqref="F22">
      <formula1>"Default,User Defined,Dropout fuse"</formula1>
    </dataValidation>
    <dataValidation allowBlank="1" showErrorMessage="1" sqref="L45:L47 K46"/>
    <dataValidation type="list" allowBlank="1" showInputMessage="1" showErrorMessage="1" promptTitle="MEN Type" prompt="Is the MEN network rural, urban residential or industrial? " sqref="K37:L37">
      <formula1>"Dense Urban, Industrial, Rural"</formula1>
    </dataValidation>
    <dataValidation allowBlank="1" promptTitle="Location Category" prompt="Select location category to provide design requirements" sqref="F56:F57"/>
    <dataValidation type="list" allowBlank="1" showInputMessage="1" showErrorMessage="1" promptTitle="Neutral bond to 1 other DSs?" prompt="Is there a continuous neutral connection to at least one other distribution substation(s)?" sqref="K31:L31">
      <formula1>"Yes,No"</formula1>
    </dataValidation>
    <dataValidation allowBlank="1" showInputMessage="1" showErrorMessage="1" prompt="For this distance to be accurate number of connected customers must be filled in for separate or common earthed designs" sqref="F63"/>
    <dataValidation allowBlank="1" showInputMessage="1" showErrorMessage="1" promptTitle="Distance to TDMEN limit" prompt="This is the distance from the edge of the earth grid to where the EPR is below the TDMEN limit - applicable to metallic pipes and any TDMEN contact scenario in accordance with EDI001" sqref="F61"/>
    <dataValidation allowBlank="1" showInputMessage="1" showErrorMessage="1" promptTitle="Distance to backyard limit" prompt="This is the distance from the edge of the earth grid to where the EPR is below the BY limit - applicable to metallic fences, backyard taps and any other backyard contact scenario in accordance with EDI001" sqref="F62"/>
    <dataValidation allowBlank="1" showInputMessage="1" showErrorMessage="1" promptTitle="EPR" prompt="Maximum voltage on any metallic component of the earth grid" sqref="F58"/>
    <dataValidation allowBlank="1" showInputMessage="1" showErrorMessage="1" promptTitle="Max Step Voltage" prompt="The maximum difference in potential between two points on the surface of the earth" sqref="K60:L60"/>
    <dataValidation allowBlank="1" showInputMessage="1" showErrorMessage="1" prompt="Number of customers connected to a continuous, well meshed LV MEN, please fill in for separately earthed designs as well" sqref="F37"/>
    <dataValidation type="list" allowBlank="1" showInputMessage="1" showErrorMessage="1" sqref="F11:L11">
      <formula1>Equipment</formula1>
    </dataValidation>
    <dataValidation type="list" allowBlank="1" showInputMessage="1" showErrorMessage="1" promptTitle="Location Category" prompt="Select location category to provide design requirements._x000a_See definitions in EDI100." sqref="F14:L14">
      <formula1>"School,Aquatic Centre,Frequented/Normal,Remote"</formula1>
    </dataValidation>
    <dataValidation type="list" allowBlank="1" showInputMessage="1" showErrorMessage="1" sqref="F17:L17">
      <formula1>ZS_list</formula1>
    </dataValidation>
    <dataValidation allowBlank="1" showInputMessage="1" showErrorMessage="1" promptTitle="Length of exposed electrode" prompt=" " sqref="F32 K32:L32"/>
    <dataValidation allowBlank="1" showInputMessage="1" showErrorMessage="1" prompt="Closest point on the earthgrid to the asset." sqref="L40"/>
    <dataValidation allowBlank="1" showInputMessage="1" showErrorMessage="1" prompt="Closest point on the earthgrid to the metallic pipeline" sqref="L43"/>
    <dataValidation type="list" allowBlank="1" promptTitle="Location Category" prompt="Select location category to provide design requirements" sqref="F44">
      <formula1>"Yes,No"</formula1>
    </dataValidation>
    <dataValidation type="list" showInputMessage="1" showErrorMessage="1" sqref="F29">
      <formula1>"Yes,No"</formula1>
    </dataValidation>
    <dataValidation type="whole" operator="greaterThan" showErrorMessage="1" error="If Hi-Set is not present or you are unsure please enter 13100." sqref="L24">
      <formula1>0</formula1>
    </dataValidation>
    <dataValidation type="list" showInputMessage="1" showErrorMessage="1" sqref="E36">
      <formula1>"No,Yes"</formula1>
    </dataValidation>
  </dataValidations>
  <pageMargins left="0.39370078740157483" right="0.39370078740157483" top="0.39370078740157483" bottom="0.39370078740157483" header="0.11811023622047245" footer="0.11811023622047245"/>
  <pageSetup paperSize="9" scale="56" orientation="portrait" r:id="rId1"/>
  <headerFooter alignWithMargins="0"/>
  <cellWatches>
    <cellWatch r="K46"/>
  </cellWatches>
  <ignoredErrors>
    <ignoredError sqref="J41" formula="1"/>
    <ignoredError sqref="K34:K35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114" r:id="rId4" name="Button 106">
              <controlPr defaultSize="0" print="0" autoFill="0" autoPict="0" macro="[0]!showHelp">
                <anchor moveWithCells="1" sizeWithCells="1">
                  <from>
                    <xdr:col>5</xdr:col>
                    <xdr:colOff>1028700</xdr:colOff>
                    <xdr:row>66</xdr:row>
                    <xdr:rowOff>142875</xdr:rowOff>
                  </from>
                  <to>
                    <xdr:col>6</xdr:col>
                    <xdr:colOff>962025</xdr:colOff>
                    <xdr:row>69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C016D69A-D9C2-4A44-A548-C7B48B7CB03B}">
            <xm:f>'ALARP Design'!$H$21=FALSE</xm:f>
            <x14:dxf>
              <fill>
                <patternFill>
                  <bgColor rgb="FFF2AF00"/>
                </patternFill>
              </fill>
            </x14:dxf>
          </x14:cfRule>
          <x14:cfRule type="expression" priority="9" id="{7B792D3F-5024-4A38-B87C-55BF6E27BA2B}">
            <xm:f>'ALARP Design'!$H$21=TRUE</xm:f>
            <x14:dxf>
              <fill>
                <patternFill>
                  <bgColor rgb="FFBED600"/>
                </patternFill>
              </fill>
            </x14:dxf>
          </x14:cfRule>
          <xm:sqref>N1:N63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01" yWindow="481" count="1">
        <x14:dataValidation type="list" allowBlank="1" showInputMessage="1" showErrorMessage="1">
          <x14:formula1>
            <xm:f>Protection!A30:A58</xm:f>
          </x14:formula1>
          <xm:sqref>K27:L27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I27"/>
  <sheetViews>
    <sheetView zoomScaleNormal="100" workbookViewId="0">
      <selection activeCell="A6" sqref="A6:B6"/>
    </sheetView>
  </sheetViews>
  <sheetFormatPr defaultColWidth="8.85546875" defaultRowHeight="21" customHeight="1" x14ac:dyDescent="0.2"/>
  <cols>
    <col min="1" max="1" width="78.5703125" style="331" customWidth="1"/>
    <col min="2" max="2" width="15.85546875" style="331" customWidth="1"/>
    <col min="3" max="6" width="8.85546875" style="331"/>
    <col min="7" max="7" width="12.7109375" style="331" customWidth="1"/>
    <col min="8" max="16384" width="8.85546875" style="331"/>
  </cols>
  <sheetData>
    <row r="1" spans="1:8" ht="21" customHeight="1" x14ac:dyDescent="0.2">
      <c r="A1" s="625" t="s">
        <v>472</v>
      </c>
      <c r="B1" s="333"/>
      <c r="C1" s="333"/>
      <c r="D1" s="333"/>
      <c r="E1" s="333"/>
      <c r="F1" s="333"/>
      <c r="G1" s="333"/>
      <c r="H1" s="333"/>
    </row>
    <row r="2" spans="1:8" ht="21" customHeight="1" x14ac:dyDescent="0.2">
      <c r="A2" s="625"/>
      <c r="B2" s="333"/>
      <c r="C2" s="333"/>
      <c r="D2" s="333"/>
      <c r="E2" s="333"/>
      <c r="F2" s="333"/>
      <c r="G2" s="333"/>
      <c r="H2" s="333"/>
    </row>
    <row r="3" spans="1:8" ht="21" customHeight="1" x14ac:dyDescent="0.2">
      <c r="A3" s="626"/>
    </row>
    <row r="4" spans="1:8" ht="25.5" x14ac:dyDescent="0.2">
      <c r="A4" s="334" t="s">
        <v>477</v>
      </c>
      <c r="B4" s="335" t="b">
        <v>0</v>
      </c>
      <c r="C4" s="336"/>
      <c r="D4" s="336"/>
      <c r="E4" s="336"/>
      <c r="F4" s="336"/>
      <c r="G4" s="336"/>
      <c r="H4" s="337"/>
    </row>
    <row r="5" spans="1:8" ht="13.5" thickBot="1" x14ac:dyDescent="0.25">
      <c r="A5" s="631" t="s">
        <v>474</v>
      </c>
      <c r="B5" s="632"/>
      <c r="C5" s="336"/>
      <c r="D5" s="336"/>
      <c r="E5" s="336"/>
      <c r="F5" s="336"/>
      <c r="G5" s="336"/>
      <c r="H5" s="337"/>
    </row>
    <row r="6" spans="1:8" ht="120" customHeight="1" thickBot="1" x14ac:dyDescent="0.25">
      <c r="A6" s="627"/>
      <c r="B6" s="628"/>
      <c r="C6" s="336"/>
      <c r="D6" s="336"/>
      <c r="E6" s="336"/>
      <c r="F6" s="336"/>
      <c r="G6" s="336"/>
      <c r="H6" s="337"/>
    </row>
    <row r="7" spans="1:8" ht="48.6" customHeight="1" x14ac:dyDescent="0.2">
      <c r="A7" s="338" t="s">
        <v>473</v>
      </c>
      <c r="B7" s="339" t="b">
        <v>0</v>
      </c>
      <c r="C7" s="336"/>
      <c r="D7" s="336"/>
      <c r="E7" s="336"/>
      <c r="F7" s="336"/>
      <c r="G7" s="336"/>
      <c r="H7" s="624"/>
    </row>
    <row r="8" spans="1:8" ht="21" customHeight="1" thickBot="1" x14ac:dyDescent="0.25">
      <c r="A8" s="633" t="s">
        <v>474</v>
      </c>
      <c r="B8" s="634"/>
      <c r="C8" s="336"/>
      <c r="D8" s="336"/>
      <c r="E8" s="336"/>
      <c r="F8" s="336"/>
      <c r="G8" s="336"/>
      <c r="H8" s="624"/>
    </row>
    <row r="9" spans="1:8" ht="120" customHeight="1" thickBot="1" x14ac:dyDescent="0.25">
      <c r="A9" s="627"/>
      <c r="B9" s="628"/>
      <c r="C9" s="336"/>
      <c r="D9" s="336"/>
      <c r="E9" s="336"/>
      <c r="F9" s="336"/>
      <c r="G9" s="336"/>
      <c r="H9" s="340"/>
    </row>
    <row r="10" spans="1:8" ht="62.45" customHeight="1" x14ac:dyDescent="0.2">
      <c r="A10" s="629" t="s">
        <v>478</v>
      </c>
      <c r="B10" s="630"/>
      <c r="C10" s="336"/>
      <c r="D10" s="336"/>
      <c r="E10" s="336"/>
      <c r="F10" s="336"/>
      <c r="G10" s="336"/>
      <c r="H10" s="624"/>
    </row>
    <row r="11" spans="1:8" ht="21" customHeight="1" x14ac:dyDescent="0.2">
      <c r="A11" s="341"/>
      <c r="B11" s="336"/>
      <c r="C11" s="336"/>
      <c r="D11" s="336"/>
      <c r="E11" s="336"/>
      <c r="F11" s="336"/>
      <c r="G11" s="336"/>
      <c r="H11" s="624"/>
    </row>
    <row r="12" spans="1:8" ht="21" customHeight="1" x14ac:dyDescent="0.2">
      <c r="A12" s="336"/>
      <c r="B12" s="336"/>
      <c r="C12" s="336"/>
      <c r="D12" s="336"/>
      <c r="E12" s="336"/>
      <c r="F12" s="336"/>
      <c r="G12" s="336"/>
      <c r="H12" s="340"/>
    </row>
    <row r="13" spans="1:8" ht="21" customHeight="1" x14ac:dyDescent="0.2">
      <c r="A13" s="341"/>
      <c r="B13" s="336"/>
      <c r="C13" s="336"/>
      <c r="D13" s="336"/>
      <c r="E13" s="336"/>
      <c r="F13" s="336"/>
      <c r="G13" s="336"/>
      <c r="H13" s="624"/>
    </row>
    <row r="14" spans="1:8" ht="21" customHeight="1" x14ac:dyDescent="0.2">
      <c r="A14" s="336"/>
      <c r="B14" s="336"/>
      <c r="C14" s="336"/>
      <c r="D14" s="336"/>
      <c r="E14" s="336"/>
      <c r="F14" s="336"/>
      <c r="G14" s="336"/>
      <c r="H14" s="624"/>
    </row>
    <row r="15" spans="1:8" ht="21" customHeight="1" x14ac:dyDescent="0.2">
      <c r="A15" s="341"/>
      <c r="B15" s="336"/>
      <c r="C15" s="336"/>
      <c r="D15" s="336"/>
      <c r="E15" s="336"/>
      <c r="F15" s="336"/>
      <c r="G15" s="336"/>
      <c r="H15" s="340"/>
    </row>
    <row r="16" spans="1:8" ht="21" customHeight="1" x14ac:dyDescent="0.2">
      <c r="A16" s="336"/>
      <c r="B16" s="336"/>
      <c r="C16" s="336"/>
      <c r="D16" s="336"/>
      <c r="E16" s="336"/>
      <c r="F16" s="336"/>
      <c r="G16" s="336"/>
      <c r="H16" s="624"/>
    </row>
    <row r="17" spans="1:9" ht="21" customHeight="1" x14ac:dyDescent="0.2">
      <c r="A17" s="336"/>
      <c r="B17" s="336"/>
      <c r="C17" s="336"/>
      <c r="D17" s="336"/>
      <c r="E17" s="336"/>
      <c r="F17" s="336"/>
      <c r="G17" s="336"/>
      <c r="H17" s="624"/>
    </row>
    <row r="18" spans="1:9" ht="21" customHeight="1" x14ac:dyDescent="0.2">
      <c r="A18" s="336"/>
      <c r="B18" s="336"/>
      <c r="C18" s="336"/>
      <c r="D18" s="336"/>
      <c r="E18" s="336"/>
      <c r="F18" s="336"/>
      <c r="G18" s="336"/>
      <c r="H18" s="340"/>
    </row>
    <row r="19" spans="1:9" ht="21" customHeight="1" x14ac:dyDescent="0.2">
      <c r="A19" s="336"/>
      <c r="B19" s="336"/>
      <c r="C19" s="336"/>
      <c r="D19" s="336"/>
      <c r="E19" s="336"/>
      <c r="F19" s="336"/>
      <c r="G19" s="342"/>
      <c r="H19" s="623"/>
      <c r="I19" s="332"/>
    </row>
    <row r="20" spans="1:9" ht="43.15" customHeight="1" x14ac:dyDescent="0.2">
      <c r="A20" s="336"/>
      <c r="B20" s="336"/>
      <c r="C20" s="336"/>
      <c r="D20" s="336"/>
      <c r="E20" s="336"/>
      <c r="F20" s="336"/>
      <c r="G20" s="342"/>
      <c r="H20" s="623"/>
      <c r="I20" s="332"/>
    </row>
    <row r="21" spans="1:9" ht="21" customHeight="1" x14ac:dyDescent="0.2">
      <c r="A21" s="336"/>
      <c r="B21" s="336"/>
      <c r="C21" s="336"/>
      <c r="D21" s="336"/>
      <c r="E21" s="336"/>
      <c r="F21" s="336"/>
      <c r="G21" s="342"/>
      <c r="H21" s="332" t="b">
        <f>AND(B4,B7)</f>
        <v>0</v>
      </c>
      <c r="I21" s="332"/>
    </row>
    <row r="22" spans="1:9" ht="21" customHeight="1" x14ac:dyDescent="0.2">
      <c r="A22" s="336"/>
      <c r="B22" s="336"/>
      <c r="C22" s="336"/>
      <c r="D22" s="336"/>
      <c r="E22" s="336"/>
      <c r="F22" s="336"/>
      <c r="G22" s="342"/>
      <c r="H22" s="332"/>
      <c r="I22" s="332"/>
    </row>
    <row r="23" spans="1:9" ht="21" customHeight="1" x14ac:dyDescent="0.2">
      <c r="A23" s="336"/>
      <c r="B23" s="336"/>
      <c r="C23" s="336"/>
      <c r="D23" s="336"/>
      <c r="E23" s="336"/>
      <c r="F23" s="336"/>
      <c r="G23" s="342"/>
      <c r="H23" s="332"/>
      <c r="I23" s="332"/>
    </row>
    <row r="24" spans="1:9" ht="21" customHeight="1" x14ac:dyDescent="0.2">
      <c r="A24" s="336"/>
      <c r="B24" s="336"/>
      <c r="C24" s="336"/>
      <c r="D24" s="336"/>
      <c r="E24" s="336"/>
      <c r="F24" s="336"/>
      <c r="G24" s="342"/>
      <c r="H24" s="332"/>
      <c r="I24" s="332"/>
    </row>
    <row r="25" spans="1:9" ht="21" customHeight="1" x14ac:dyDescent="0.2">
      <c r="A25" s="336"/>
      <c r="B25" s="336"/>
      <c r="C25" s="336"/>
      <c r="D25" s="336"/>
      <c r="E25" s="336"/>
      <c r="F25" s="336"/>
      <c r="G25" s="342"/>
      <c r="H25" s="332"/>
      <c r="I25" s="332"/>
    </row>
    <row r="26" spans="1:9" ht="21" customHeight="1" x14ac:dyDescent="0.2">
      <c r="A26" s="336"/>
      <c r="B26" s="336"/>
      <c r="C26" s="336"/>
      <c r="D26" s="336"/>
      <c r="E26" s="336"/>
      <c r="F26" s="336"/>
      <c r="G26" s="336"/>
    </row>
    <row r="27" spans="1:9" ht="21" customHeight="1" x14ac:dyDescent="0.2">
      <c r="A27" s="336"/>
      <c r="B27" s="336"/>
      <c r="C27" s="336"/>
      <c r="D27" s="336"/>
      <c r="E27" s="336"/>
      <c r="F27" s="336"/>
      <c r="G27" s="336"/>
    </row>
  </sheetData>
  <sheetProtection password="C52D" sheet="1" objects="1" scenarios="1" selectLockedCells="1"/>
  <dataConsolidate/>
  <mergeCells count="11">
    <mergeCell ref="A1:A3"/>
    <mergeCell ref="A6:B6"/>
    <mergeCell ref="A10:B10"/>
    <mergeCell ref="A5:B5"/>
    <mergeCell ref="A8:B8"/>
    <mergeCell ref="A9:B9"/>
    <mergeCell ref="H19:H20"/>
    <mergeCell ref="H10:H11"/>
    <mergeCell ref="H13:H14"/>
    <mergeCell ref="H16:H17"/>
    <mergeCell ref="H7:H8"/>
  </mergeCells>
  <dataValidations count="2">
    <dataValidation type="list" showInputMessage="1" showErrorMessage="1" sqref="B4">
      <formula1>"TRUE,FALSE"</formula1>
    </dataValidation>
    <dataValidation type="list" allowBlank="1" showInputMessage="1" showErrorMessage="1" sqref="B7">
      <formula1>"TRUE,FALSE"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Z57"/>
  <sheetViews>
    <sheetView zoomScale="70" zoomScaleNormal="70" zoomScaleSheetLayoutView="85" workbookViewId="0">
      <selection activeCell="I33" sqref="I33"/>
    </sheetView>
  </sheetViews>
  <sheetFormatPr defaultColWidth="9.140625" defaultRowHeight="12.75" x14ac:dyDescent="0.2"/>
  <cols>
    <col min="1" max="1" width="12.7109375" style="35" bestFit="1" customWidth="1"/>
    <col min="2" max="2" width="9.140625" style="35"/>
    <col min="3" max="4" width="9.140625" style="35" customWidth="1"/>
    <col min="5" max="5" width="9.140625" style="35"/>
    <col min="6" max="6" width="15.140625" style="35" customWidth="1"/>
    <col min="7" max="9" width="9.140625" style="35"/>
    <col min="10" max="10" width="9.140625" style="35" customWidth="1"/>
    <col min="11" max="11" width="9.140625" style="35"/>
    <col min="12" max="12" width="9.140625" style="35" customWidth="1"/>
    <col min="13" max="13" width="11.42578125" style="35" customWidth="1"/>
    <col min="14" max="15" width="9.140625" style="35"/>
    <col min="16" max="16" width="9.140625" style="35" customWidth="1"/>
    <col min="17" max="16384" width="9.140625" style="35"/>
  </cols>
  <sheetData>
    <row r="1" spans="1:26" ht="15.75" thickBot="1" x14ac:dyDescent="0.3">
      <c r="A1" s="132">
        <f>config</f>
        <v>0</v>
      </c>
      <c r="B1" s="132" t="s">
        <v>94</v>
      </c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3"/>
      <c r="W1" s="133"/>
      <c r="X1" s="133"/>
      <c r="Y1" s="133"/>
      <c r="Z1" s="133"/>
    </row>
    <row r="2" spans="1:26" ht="15.75" thickBot="1" x14ac:dyDescent="0.3">
      <c r="A2" s="132" t="s">
        <v>359</v>
      </c>
      <c r="B2" s="132">
        <f>DBZS</f>
        <v>0</v>
      </c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3"/>
      <c r="W2" s="133"/>
      <c r="X2" s="133"/>
      <c r="Y2" s="133"/>
      <c r="Z2" s="133"/>
    </row>
    <row r="3" spans="1:26" x14ac:dyDescent="0.2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3"/>
      <c r="Y3" s="133"/>
      <c r="Z3" s="133"/>
    </row>
    <row r="4" spans="1:26" x14ac:dyDescent="0.2">
      <c r="A4" s="133"/>
      <c r="B4" s="133"/>
      <c r="C4" s="133"/>
      <c r="D4" s="133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133"/>
    </row>
    <row r="5" spans="1:26" ht="13.5" thickBot="1" x14ac:dyDescent="0.25">
      <c r="A5" s="133"/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</row>
    <row r="6" spans="1:26" ht="15.75" thickBot="1" x14ac:dyDescent="0.3">
      <c r="A6" s="133"/>
      <c r="B6" s="133"/>
      <c r="C6" s="133"/>
      <c r="D6" s="133"/>
      <c r="E6" s="131" t="s">
        <v>80</v>
      </c>
      <c r="F6" s="134" t="e">
        <f>'Fault current calcs'!E6</f>
        <v>#DIV/0!</v>
      </c>
      <c r="G6" s="132" t="s">
        <v>81</v>
      </c>
      <c r="H6" s="133"/>
      <c r="I6" s="133"/>
      <c r="J6" s="133"/>
      <c r="K6" s="133"/>
      <c r="L6" s="131" t="s">
        <v>43</v>
      </c>
      <c r="M6" s="132"/>
      <c r="N6" s="135" t="e">
        <f>Main!F47</f>
        <v>#DIV/0!</v>
      </c>
      <c r="O6" s="132" t="s">
        <v>90</v>
      </c>
      <c r="P6" s="133"/>
      <c r="Q6" s="133"/>
      <c r="R6" s="133"/>
      <c r="S6" s="133"/>
      <c r="T6" s="133"/>
      <c r="U6" s="133"/>
      <c r="V6" s="133"/>
      <c r="W6" s="133"/>
      <c r="X6" s="133"/>
      <c r="Y6" s="133"/>
      <c r="Z6" s="133"/>
    </row>
    <row r="7" spans="1:26" ht="15.75" thickBot="1" x14ac:dyDescent="0.3">
      <c r="A7" s="133"/>
      <c r="B7" s="133"/>
      <c r="C7" s="133"/>
      <c r="D7" s="133"/>
      <c r="E7" s="133"/>
      <c r="F7" s="133"/>
      <c r="G7" s="133"/>
      <c r="H7" s="133"/>
      <c r="I7" s="133"/>
      <c r="J7" s="133"/>
      <c r="K7" s="133"/>
      <c r="L7" s="131" t="s">
        <v>89</v>
      </c>
      <c r="M7" s="132"/>
      <c r="N7" s="135" t="e">
        <f>Main!F45</f>
        <v>#DIV/0!</v>
      </c>
      <c r="O7" s="136" t="s">
        <v>90</v>
      </c>
      <c r="P7" s="133"/>
      <c r="Q7" s="133"/>
      <c r="R7" s="133"/>
      <c r="S7" s="133"/>
      <c r="T7" s="133"/>
      <c r="U7" s="133"/>
      <c r="V7" s="133"/>
      <c r="W7" s="133"/>
      <c r="X7" s="133"/>
      <c r="Y7" s="133"/>
      <c r="Z7" s="133"/>
    </row>
    <row r="8" spans="1:26" ht="13.5" thickBot="1" x14ac:dyDescent="0.25">
      <c r="A8" s="133"/>
      <c r="B8" s="133"/>
      <c r="C8" s="133"/>
      <c r="D8" s="133"/>
      <c r="E8" s="133"/>
      <c r="F8" s="133"/>
      <c r="G8" s="133"/>
      <c r="H8" s="133"/>
      <c r="I8" s="133"/>
      <c r="J8" s="133"/>
      <c r="K8" s="133"/>
      <c r="L8" s="133"/>
      <c r="M8" s="133"/>
      <c r="N8" s="137"/>
      <c r="O8" s="133"/>
      <c r="P8" s="133"/>
      <c r="Q8" s="133"/>
      <c r="R8" s="133"/>
      <c r="S8" s="133"/>
      <c r="T8" s="133"/>
      <c r="U8" s="133"/>
      <c r="V8" s="133"/>
      <c r="W8" s="133"/>
      <c r="X8" s="133"/>
      <c r="Y8" s="133"/>
      <c r="Z8" s="133"/>
    </row>
    <row r="9" spans="1:26" ht="15.75" thickBot="1" x14ac:dyDescent="0.3">
      <c r="A9" s="133"/>
      <c r="B9" s="133"/>
      <c r="C9" s="133"/>
      <c r="D9" s="133"/>
      <c r="E9" s="133"/>
      <c r="F9" s="133"/>
      <c r="G9" s="133"/>
      <c r="H9" s="133"/>
      <c r="I9" s="133"/>
      <c r="J9" s="133"/>
      <c r="K9" s="133"/>
      <c r="L9" s="136" t="s">
        <v>120</v>
      </c>
      <c r="M9" s="136"/>
      <c r="N9" s="138" t="e">
        <f ca="1">Main!F55</f>
        <v>#DIV/0!</v>
      </c>
      <c r="O9" s="136" t="s">
        <v>121</v>
      </c>
      <c r="P9" s="133"/>
      <c r="Q9" s="133"/>
      <c r="R9" s="133"/>
      <c r="S9" s="133"/>
      <c r="T9" s="133"/>
      <c r="U9" s="133"/>
      <c r="V9" s="133"/>
      <c r="W9" s="133"/>
      <c r="X9" s="133"/>
      <c r="Y9" s="133"/>
      <c r="Z9" s="133"/>
    </row>
    <row r="10" spans="1:26" ht="15.75" thickBot="1" x14ac:dyDescent="0.3">
      <c r="A10" s="133"/>
      <c r="B10" s="133"/>
      <c r="C10" s="133"/>
      <c r="D10" s="133"/>
      <c r="E10" s="133"/>
      <c r="F10" s="133"/>
      <c r="G10" s="133"/>
      <c r="H10" s="133"/>
      <c r="I10" s="133"/>
      <c r="J10" s="133"/>
      <c r="K10" s="133"/>
      <c r="L10" s="136" t="s">
        <v>122</v>
      </c>
      <c r="M10" s="136"/>
      <c r="N10" s="135" t="str">
        <f>IF(config="Common",IF(I16&lt;N9,"Yes","No"),"N/A")</f>
        <v>N/A</v>
      </c>
      <c r="O10" s="136"/>
      <c r="P10" s="133"/>
      <c r="Q10" s="133"/>
      <c r="R10" s="133"/>
      <c r="S10" s="133"/>
      <c r="T10" s="133"/>
      <c r="U10" s="133"/>
      <c r="V10" s="133"/>
      <c r="W10" s="133"/>
      <c r="X10" s="133"/>
      <c r="Y10" s="133"/>
      <c r="Z10" s="133"/>
    </row>
    <row r="11" spans="1:26" ht="15.75" thickBot="1" x14ac:dyDescent="0.3">
      <c r="A11" s="133"/>
      <c r="B11" s="133"/>
      <c r="C11" s="133"/>
      <c r="D11" s="133"/>
      <c r="E11" s="133"/>
      <c r="F11" s="133"/>
      <c r="G11" s="133"/>
      <c r="H11" s="133"/>
      <c r="I11" s="133"/>
      <c r="J11" s="133"/>
      <c r="K11" s="133"/>
      <c r="L11" s="635" t="s">
        <v>123</v>
      </c>
      <c r="M11" s="635"/>
      <c r="N11" s="135" t="e">
        <f ca="1">Main!F63</f>
        <v>#VALUE!</v>
      </c>
      <c r="O11" s="136" t="s">
        <v>124</v>
      </c>
      <c r="P11" s="133"/>
      <c r="Q11" s="133"/>
      <c r="R11" s="133"/>
      <c r="S11" s="133"/>
      <c r="T11" s="133"/>
      <c r="U11" s="133"/>
      <c r="V11" s="133"/>
      <c r="W11" s="133"/>
      <c r="X11" s="133"/>
      <c r="Y11" s="133"/>
      <c r="Z11" s="133"/>
    </row>
    <row r="12" spans="1:26" ht="15.75" thickBot="1" x14ac:dyDescent="0.3">
      <c r="A12" s="133"/>
      <c r="B12" s="135" t="s">
        <v>83</v>
      </c>
      <c r="C12" s="133"/>
      <c r="D12" s="133"/>
      <c r="E12" s="133"/>
      <c r="F12" s="133"/>
      <c r="G12" s="133"/>
      <c r="H12" s="133"/>
      <c r="I12" s="133"/>
      <c r="J12" s="133"/>
      <c r="K12" s="133"/>
      <c r="L12" s="636" t="s">
        <v>164</v>
      </c>
      <c r="M12" s="637"/>
      <c r="N12" s="638"/>
      <c r="O12" s="139" t="e">
        <f ca="1">(N9*Main!F39-I16)/(N9*Main!F39)</f>
        <v>#DIV/0!</v>
      </c>
      <c r="P12" s="133"/>
      <c r="Q12" s="133"/>
      <c r="R12" s="133"/>
      <c r="S12" s="133"/>
      <c r="T12" s="133"/>
      <c r="U12" s="133"/>
      <c r="V12" s="133"/>
      <c r="W12" s="133"/>
      <c r="X12" s="133"/>
      <c r="Y12" s="133"/>
      <c r="Z12" s="133"/>
    </row>
    <row r="13" spans="1:26" ht="15.75" thickBot="1" x14ac:dyDescent="0.3">
      <c r="A13" s="133"/>
      <c r="B13" s="138">
        <f>Main!F20</f>
        <v>0</v>
      </c>
      <c r="C13" s="133"/>
      <c r="D13" s="133"/>
      <c r="E13" s="133"/>
      <c r="F13" s="133"/>
      <c r="G13" s="133"/>
      <c r="H13" s="133"/>
      <c r="I13" s="133"/>
      <c r="J13" s="133"/>
      <c r="K13" s="133"/>
      <c r="L13" s="133"/>
      <c r="M13" s="133"/>
      <c r="N13" s="133"/>
      <c r="O13" s="133"/>
      <c r="P13" s="133"/>
      <c r="Q13" s="133"/>
      <c r="R13" s="133"/>
      <c r="S13" s="133"/>
      <c r="T13" s="133"/>
      <c r="U13" s="133"/>
      <c r="V13" s="133"/>
      <c r="W13" s="133"/>
      <c r="X13" s="133"/>
      <c r="Y13" s="133"/>
      <c r="Z13" s="133"/>
    </row>
    <row r="14" spans="1:26" ht="15.75" thickBot="1" x14ac:dyDescent="0.3">
      <c r="A14" s="133"/>
      <c r="B14" s="135" t="s">
        <v>5</v>
      </c>
      <c r="C14" s="133"/>
      <c r="D14" s="133"/>
      <c r="E14" s="133"/>
      <c r="F14" s="133"/>
      <c r="G14" s="133"/>
      <c r="H14" s="133"/>
      <c r="I14" s="133"/>
      <c r="J14" s="133"/>
      <c r="K14" s="133"/>
      <c r="L14" s="133"/>
      <c r="M14" s="133"/>
      <c r="N14" s="133"/>
      <c r="O14" s="133"/>
      <c r="P14" s="133"/>
      <c r="Q14" s="133"/>
      <c r="R14" s="133"/>
      <c r="S14" s="133"/>
      <c r="T14" s="133"/>
      <c r="U14" s="133"/>
      <c r="V14" s="133"/>
      <c r="W14" s="133"/>
      <c r="X14" s="133"/>
      <c r="Y14" s="133"/>
      <c r="Z14" s="133"/>
    </row>
    <row r="15" spans="1:26" ht="15.75" thickBot="1" x14ac:dyDescent="0.3">
      <c r="A15" s="133"/>
      <c r="B15" s="137"/>
      <c r="C15" s="133"/>
      <c r="D15" s="133"/>
      <c r="E15" s="133"/>
      <c r="F15" s="133"/>
      <c r="G15" s="133"/>
      <c r="H15" s="133"/>
      <c r="I15" s="135" t="s">
        <v>84</v>
      </c>
      <c r="J15" s="133"/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3"/>
      <c r="Z15" s="133"/>
    </row>
    <row r="16" spans="1:26" ht="15.75" thickBot="1" x14ac:dyDescent="0.3">
      <c r="A16" s="133"/>
      <c r="B16" s="137"/>
      <c r="C16" s="133"/>
      <c r="D16" s="133"/>
      <c r="E16" s="133"/>
      <c r="F16" s="133"/>
      <c r="G16" s="133"/>
      <c r="H16" s="133"/>
      <c r="I16" s="134" t="e">
        <f>Main!F58</f>
        <v>#DIV/0!</v>
      </c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</row>
    <row r="17" spans="1:26" ht="15.75" thickBot="1" x14ac:dyDescent="0.3">
      <c r="A17" s="133"/>
      <c r="B17" s="137"/>
      <c r="C17" s="133"/>
      <c r="D17" s="133"/>
      <c r="E17" s="133"/>
      <c r="F17" s="133"/>
      <c r="G17" s="133"/>
      <c r="H17" s="133"/>
      <c r="I17" s="135" t="s">
        <v>85</v>
      </c>
      <c r="J17" s="133"/>
      <c r="K17" s="133"/>
      <c r="L17" s="133"/>
      <c r="M17" s="133"/>
      <c r="N17" s="133"/>
      <c r="O17" s="133"/>
      <c r="P17" s="133"/>
      <c r="Q17" s="133"/>
      <c r="R17" s="133"/>
      <c r="S17" s="133"/>
      <c r="T17" s="133"/>
      <c r="U17" s="133"/>
      <c r="V17" s="133"/>
      <c r="W17" s="133"/>
      <c r="X17" s="133"/>
      <c r="Y17" s="133"/>
      <c r="Z17" s="133"/>
    </row>
    <row r="18" spans="1:26" x14ac:dyDescent="0.2">
      <c r="A18" s="133"/>
      <c r="B18" s="137"/>
      <c r="C18" s="133"/>
      <c r="D18" s="133"/>
      <c r="E18" s="133"/>
      <c r="F18" s="133"/>
      <c r="G18" s="133"/>
      <c r="H18" s="133"/>
      <c r="I18" s="133"/>
      <c r="J18" s="133"/>
      <c r="K18" s="133"/>
      <c r="L18" s="133"/>
      <c r="M18" s="133"/>
      <c r="N18" s="133"/>
      <c r="O18" s="133"/>
      <c r="P18" s="133"/>
      <c r="Q18" s="133"/>
      <c r="R18" s="133"/>
      <c r="S18" s="133"/>
      <c r="T18" s="133"/>
      <c r="U18" s="133"/>
      <c r="V18" s="133"/>
      <c r="W18" s="133"/>
      <c r="X18" s="133"/>
      <c r="Y18" s="133"/>
      <c r="Z18" s="133"/>
    </row>
    <row r="19" spans="1:26" x14ac:dyDescent="0.2">
      <c r="A19" s="133"/>
      <c r="B19" s="137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</row>
    <row r="20" spans="1:26" x14ac:dyDescent="0.2">
      <c r="A20" s="133"/>
      <c r="B20" s="137"/>
      <c r="C20" s="133"/>
      <c r="D20" s="133"/>
      <c r="E20" s="133"/>
      <c r="F20" s="133"/>
      <c r="G20" s="133"/>
      <c r="H20" s="133"/>
      <c r="I20" s="133"/>
      <c r="J20" s="133"/>
      <c r="K20" s="133"/>
      <c r="L20" s="133"/>
      <c r="M20" s="133"/>
      <c r="N20" s="133"/>
      <c r="O20" s="133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</row>
    <row r="21" spans="1:26" ht="13.5" thickBot="1" x14ac:dyDescent="0.25">
      <c r="A21" s="133"/>
      <c r="B21" s="137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</row>
    <row r="22" spans="1:26" ht="15.75" thickBot="1" x14ac:dyDescent="0.3">
      <c r="A22" s="133"/>
      <c r="B22" s="137"/>
      <c r="C22" s="133"/>
      <c r="D22" s="133"/>
      <c r="E22" s="131" t="s">
        <v>110</v>
      </c>
      <c r="F22" s="132"/>
      <c r="G22" s="140">
        <f>IMABS('Fault current calcs'!E27)</f>
        <v>0</v>
      </c>
      <c r="H22" s="136" t="s">
        <v>90</v>
      </c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</row>
    <row r="23" spans="1:26" x14ac:dyDescent="0.2">
      <c r="A23" s="133"/>
      <c r="B23" s="137"/>
      <c r="C23" s="133"/>
      <c r="D23" s="133"/>
      <c r="E23" s="133"/>
      <c r="F23" s="133"/>
      <c r="G23" s="133"/>
      <c r="H23" s="133"/>
      <c r="I23" s="133"/>
      <c r="J23" s="133"/>
      <c r="K23" s="133"/>
      <c r="L23" s="133"/>
      <c r="M23" s="133"/>
      <c r="N23" s="133"/>
      <c r="O23" s="133"/>
      <c r="P23" s="133"/>
      <c r="Q23" s="133"/>
      <c r="R23" s="133"/>
      <c r="S23" s="133"/>
      <c r="T23" s="133"/>
      <c r="U23" s="133"/>
      <c r="V23" s="133"/>
      <c r="W23" s="133"/>
      <c r="X23" s="133"/>
      <c r="Y23" s="133"/>
      <c r="Z23" s="133"/>
    </row>
    <row r="24" spans="1:26" x14ac:dyDescent="0.2">
      <c r="A24" s="133"/>
      <c r="B24" s="137"/>
      <c r="C24" s="133"/>
      <c r="D24" s="133"/>
      <c r="E24" s="133"/>
      <c r="F24" s="141"/>
      <c r="G24" s="141"/>
      <c r="H24" s="133"/>
      <c r="I24" s="133"/>
      <c r="J24" s="133"/>
      <c r="K24" s="133"/>
      <c r="L24" s="133"/>
      <c r="M24" s="133"/>
      <c r="N24" s="133"/>
      <c r="O24" s="133"/>
      <c r="P24" s="133"/>
      <c r="Q24" s="133"/>
      <c r="R24" s="133"/>
      <c r="S24" s="133"/>
      <c r="T24" s="133"/>
      <c r="U24" s="133"/>
      <c r="V24" s="133"/>
      <c r="W24" s="133"/>
      <c r="X24" s="133"/>
      <c r="Y24" s="133"/>
      <c r="Z24" s="133"/>
    </row>
    <row r="25" spans="1:26" ht="1.5" customHeight="1" x14ac:dyDescent="0.2">
      <c r="A25" s="133"/>
      <c r="B25" s="137"/>
      <c r="C25" s="133"/>
      <c r="D25" s="141"/>
      <c r="E25" s="141"/>
      <c r="F25" s="141"/>
      <c r="G25" s="141"/>
      <c r="H25" s="141"/>
      <c r="I25" s="142"/>
      <c r="J25" s="141"/>
      <c r="K25" s="141"/>
      <c r="L25" s="141"/>
      <c r="M25" s="141"/>
      <c r="N25" s="141"/>
      <c r="O25" s="141"/>
      <c r="P25" s="133"/>
      <c r="Q25" s="133"/>
      <c r="R25" s="133"/>
      <c r="S25" s="133"/>
      <c r="T25" s="133"/>
      <c r="U25" s="133"/>
      <c r="V25" s="133"/>
      <c r="W25" s="133"/>
      <c r="X25" s="133"/>
      <c r="Y25" s="133"/>
      <c r="Z25" s="133"/>
    </row>
    <row r="26" spans="1:26" ht="13.5" thickBot="1" x14ac:dyDescent="0.25">
      <c r="A26" s="77"/>
      <c r="B26" s="143"/>
      <c r="C26" s="77"/>
      <c r="D26" s="77"/>
      <c r="E26" s="77"/>
      <c r="F26" s="141"/>
      <c r="G26" s="141"/>
      <c r="H26" s="77"/>
      <c r="I26" s="143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</row>
    <row r="27" spans="1:26" ht="15.75" thickBot="1" x14ac:dyDescent="0.3">
      <c r="A27" s="77"/>
      <c r="B27" s="77"/>
      <c r="C27" s="77"/>
      <c r="D27" s="77"/>
      <c r="E27" s="77"/>
      <c r="F27" s="77"/>
      <c r="G27" s="77"/>
      <c r="H27" s="77"/>
      <c r="I27" s="135" t="s">
        <v>82</v>
      </c>
      <c r="J27" s="77"/>
      <c r="K27" s="77"/>
      <c r="L27" s="77"/>
      <c r="M27" s="77"/>
      <c r="N27" s="135" t="s">
        <v>86</v>
      </c>
      <c r="O27" s="77"/>
      <c r="P27" s="77"/>
      <c r="Q27" s="135" t="s">
        <v>87</v>
      </c>
      <c r="R27" s="77"/>
      <c r="S27" s="77"/>
      <c r="T27" s="77"/>
      <c r="U27" s="77"/>
      <c r="V27" s="77"/>
      <c r="W27" s="77"/>
      <c r="X27" s="77"/>
      <c r="Y27" s="77"/>
      <c r="Z27" s="77"/>
    </row>
    <row r="28" spans="1:26" ht="15.75" thickBot="1" x14ac:dyDescent="0.3">
      <c r="A28" s="77"/>
      <c r="B28" s="77"/>
      <c r="C28" s="77"/>
      <c r="D28" s="77"/>
      <c r="E28" s="77"/>
      <c r="F28" s="77"/>
      <c r="G28" s="77"/>
      <c r="H28" s="77"/>
      <c r="I28" s="134" t="e">
        <f>'Fault current calcs'!E10</f>
        <v>#DIV/0!</v>
      </c>
      <c r="J28" s="77"/>
      <c r="K28" s="77"/>
      <c r="L28" s="77"/>
      <c r="M28" s="77"/>
      <c r="N28" s="134" t="e">
        <f>Main!K34</f>
        <v>#DIV/0!</v>
      </c>
      <c r="O28" s="77"/>
      <c r="P28" s="77"/>
      <c r="Q28" s="134" t="e">
        <f>Main!F38</f>
        <v>#DIV/0!</v>
      </c>
      <c r="R28" s="77"/>
      <c r="S28" s="77"/>
      <c r="T28" s="77"/>
      <c r="U28" s="77"/>
      <c r="V28" s="77"/>
      <c r="W28" s="77"/>
      <c r="X28" s="77"/>
      <c r="Y28" s="77"/>
      <c r="Z28" s="77"/>
    </row>
    <row r="29" spans="1:26" ht="15.75" thickBot="1" x14ac:dyDescent="0.3">
      <c r="A29" s="77"/>
      <c r="B29" s="77"/>
      <c r="C29" s="77"/>
      <c r="D29" s="77"/>
      <c r="E29" s="77"/>
      <c r="F29" s="77"/>
      <c r="G29" s="77"/>
      <c r="H29" s="77"/>
      <c r="I29" s="135" t="s">
        <v>81</v>
      </c>
      <c r="J29" s="77"/>
      <c r="K29" s="77"/>
      <c r="L29" s="77"/>
      <c r="M29" s="77"/>
      <c r="N29" s="135" t="s">
        <v>81</v>
      </c>
      <c r="O29" s="77"/>
      <c r="P29" s="77"/>
      <c r="Q29" s="135" t="s">
        <v>81</v>
      </c>
      <c r="R29" s="77"/>
      <c r="S29" s="77"/>
      <c r="T29" s="77"/>
      <c r="U29" s="77"/>
      <c r="V29" s="77"/>
      <c r="W29" s="77"/>
      <c r="X29" s="77"/>
      <c r="Y29" s="77"/>
      <c r="Z29" s="77"/>
    </row>
    <row r="30" spans="1:26" ht="13.5" thickBot="1" x14ac:dyDescent="0.25">
      <c r="A30" s="77"/>
      <c r="B30" s="77"/>
      <c r="C30" s="77"/>
      <c r="D30" s="77"/>
      <c r="E30" s="77"/>
      <c r="F30" s="77"/>
      <c r="G30" s="144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</row>
    <row r="31" spans="1:26" ht="15.75" thickBot="1" x14ac:dyDescent="0.3">
      <c r="A31" s="77"/>
      <c r="B31" s="77"/>
      <c r="C31" s="77"/>
      <c r="D31" s="77"/>
      <c r="E31" s="77"/>
      <c r="F31" s="77"/>
      <c r="G31" s="144"/>
      <c r="H31" s="77"/>
      <c r="I31" s="135" t="s">
        <v>88</v>
      </c>
      <c r="J31" s="77"/>
      <c r="K31" s="77"/>
      <c r="L31" s="77"/>
      <c r="M31" s="77"/>
      <c r="N31" s="77"/>
      <c r="O31" s="77"/>
      <c r="P31" s="77"/>
      <c r="Q31" s="135" t="s">
        <v>88</v>
      </c>
      <c r="R31" s="77"/>
      <c r="S31" s="77"/>
      <c r="T31" s="77"/>
      <c r="U31" s="77"/>
      <c r="V31" s="77"/>
      <c r="W31" s="77"/>
      <c r="X31" s="77"/>
      <c r="Y31" s="77"/>
      <c r="Z31" s="77"/>
    </row>
    <row r="32" spans="1:26" ht="15.75" thickBot="1" x14ac:dyDescent="0.3">
      <c r="A32" s="77"/>
      <c r="B32" s="77"/>
      <c r="C32" s="77"/>
      <c r="D32" s="77"/>
      <c r="E32" s="77"/>
      <c r="F32" s="77"/>
      <c r="G32" s="77"/>
      <c r="H32" s="77"/>
      <c r="I32" s="134" t="e">
        <f>'Fault current calcs'!E25</f>
        <v>#DIV/0!</v>
      </c>
      <c r="J32" s="77"/>
      <c r="K32" s="77"/>
      <c r="L32" s="77"/>
      <c r="M32" s="77"/>
      <c r="N32" s="77"/>
      <c r="O32" s="77"/>
      <c r="P32" s="77"/>
      <c r="Q32" s="134">
        <f>'Fault current calcs'!H26</f>
        <v>0</v>
      </c>
      <c r="R32" s="77"/>
      <c r="S32" s="77"/>
      <c r="T32" s="77"/>
      <c r="U32" s="77"/>
      <c r="V32" s="77"/>
      <c r="W32" s="77"/>
      <c r="X32" s="77"/>
      <c r="Y32" s="77"/>
      <c r="Z32" s="77"/>
    </row>
    <row r="33" spans="1:26" ht="15.75" thickBot="1" x14ac:dyDescent="0.3">
      <c r="A33" s="77"/>
      <c r="B33" s="77"/>
      <c r="C33" s="77"/>
      <c r="D33" s="77"/>
      <c r="E33" s="77"/>
      <c r="F33" s="77"/>
      <c r="G33" s="77"/>
      <c r="H33" s="77"/>
      <c r="I33" s="135" t="s">
        <v>90</v>
      </c>
      <c r="J33" s="77"/>
      <c r="K33" s="77"/>
      <c r="L33" s="77"/>
      <c r="M33" s="77"/>
      <c r="N33" s="77"/>
      <c r="O33" s="77"/>
      <c r="P33" s="77"/>
      <c r="Q33" s="135" t="s">
        <v>90</v>
      </c>
      <c r="R33" s="77"/>
      <c r="S33" s="77"/>
      <c r="T33" s="77"/>
      <c r="U33" s="77"/>
      <c r="V33" s="77"/>
      <c r="W33" s="77"/>
      <c r="X33" s="77"/>
      <c r="Y33" s="77"/>
      <c r="Z33" s="77"/>
    </row>
    <row r="34" spans="1:26" x14ac:dyDescent="0.2">
      <c r="A34" s="77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7"/>
      <c r="T34" s="77"/>
      <c r="U34" s="77"/>
      <c r="V34" s="77"/>
      <c r="W34" s="77"/>
      <c r="X34" s="77"/>
      <c r="Y34" s="77"/>
      <c r="Z34" s="77"/>
    </row>
    <row r="35" spans="1:26" x14ac:dyDescent="0.2">
      <c r="A35" s="77"/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7"/>
      <c r="T35" s="77"/>
      <c r="U35" s="77"/>
      <c r="V35" s="77"/>
      <c r="W35" s="77"/>
      <c r="X35" s="77"/>
      <c r="Y35" s="77"/>
      <c r="Z35" s="77"/>
    </row>
    <row r="36" spans="1:26" x14ac:dyDescent="0.2">
      <c r="A36" s="77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7"/>
      <c r="T36" s="77"/>
      <c r="U36" s="77"/>
      <c r="V36" s="77"/>
      <c r="W36" s="77"/>
      <c r="X36" s="77"/>
      <c r="Y36" s="77"/>
      <c r="Z36" s="77"/>
    </row>
    <row r="37" spans="1:26" x14ac:dyDescent="0.2">
      <c r="A37" s="77"/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7"/>
      <c r="T37" s="77"/>
      <c r="U37" s="77"/>
      <c r="V37" s="77"/>
      <c r="W37" s="77"/>
      <c r="X37" s="77"/>
      <c r="Y37" s="77"/>
      <c r="Z37" s="77"/>
    </row>
    <row r="38" spans="1:26" x14ac:dyDescent="0.2">
      <c r="A38" s="77"/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</row>
    <row r="39" spans="1:26" x14ac:dyDescent="0.2">
      <c r="A39" s="77"/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</row>
    <row r="40" spans="1:26" x14ac:dyDescent="0.2">
      <c r="A40" s="77"/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7"/>
      <c r="T40" s="77"/>
      <c r="U40" s="77"/>
      <c r="V40" s="77"/>
      <c r="W40" s="77"/>
      <c r="X40" s="77"/>
      <c r="Y40" s="77"/>
      <c r="Z40" s="77"/>
    </row>
    <row r="41" spans="1:26" x14ac:dyDescent="0.2">
      <c r="A41" s="77"/>
      <c r="B41" s="77"/>
      <c r="C41" s="77"/>
      <c r="D41" s="77"/>
      <c r="E41" s="77"/>
      <c r="F41" s="77"/>
      <c r="G41" s="77"/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</row>
    <row r="42" spans="1:26" x14ac:dyDescent="0.2">
      <c r="A42" s="77"/>
      <c r="B42" s="77"/>
      <c r="C42" s="77"/>
      <c r="D42" s="77"/>
      <c r="E42" s="77"/>
      <c r="F42" s="77"/>
      <c r="G42" s="77"/>
      <c r="H42" s="77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</row>
    <row r="43" spans="1:26" x14ac:dyDescent="0.2">
      <c r="A43" s="77"/>
      <c r="B43" s="77"/>
      <c r="C43" s="77"/>
      <c r="D43" s="77"/>
      <c r="E43" s="77"/>
      <c r="F43" s="77"/>
      <c r="G43" s="77"/>
      <c r="H43" s="77"/>
      <c r="I43" s="77"/>
      <c r="J43" s="77"/>
      <c r="K43" s="77"/>
      <c r="L43" s="77"/>
      <c r="M43" s="77"/>
      <c r="N43" s="77"/>
      <c r="O43" s="77"/>
      <c r="P43" s="77"/>
      <c r="Q43" s="77"/>
      <c r="R43" s="77"/>
      <c r="S43" s="77"/>
      <c r="T43" s="77"/>
      <c r="U43" s="77"/>
      <c r="V43" s="77"/>
      <c r="W43" s="77"/>
      <c r="X43" s="77"/>
      <c r="Y43" s="77"/>
      <c r="Z43" s="77"/>
    </row>
    <row r="44" spans="1:26" x14ac:dyDescent="0.2">
      <c r="A44" s="77"/>
      <c r="B44" s="77"/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7"/>
      <c r="U44" s="77"/>
      <c r="V44" s="77"/>
      <c r="W44" s="77"/>
      <c r="X44" s="77"/>
      <c r="Y44" s="77"/>
      <c r="Z44" s="77"/>
    </row>
    <row r="45" spans="1:26" x14ac:dyDescent="0.2">
      <c r="A45" s="77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</row>
    <row r="46" spans="1:26" x14ac:dyDescent="0.2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7"/>
      <c r="U46" s="77"/>
      <c r="V46" s="77"/>
      <c r="W46" s="77"/>
      <c r="X46" s="77"/>
      <c r="Y46" s="77"/>
      <c r="Z46" s="77"/>
    </row>
    <row r="47" spans="1:26" x14ac:dyDescent="0.2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</row>
    <row r="48" spans="1:26" x14ac:dyDescent="0.2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</row>
    <row r="49" spans="1:26" x14ac:dyDescent="0.2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</row>
    <row r="50" spans="1:26" x14ac:dyDescent="0.2">
      <c r="A50" s="77"/>
      <c r="B50" s="77"/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7"/>
      <c r="U50" s="77"/>
      <c r="V50" s="77"/>
      <c r="W50" s="77"/>
      <c r="X50" s="77"/>
      <c r="Y50" s="77"/>
      <c r="Z50" s="77"/>
    </row>
    <row r="51" spans="1:26" x14ac:dyDescent="0.2">
      <c r="A51" s="77"/>
      <c r="B51" s="77"/>
      <c r="C51" s="77"/>
      <c r="D51" s="77"/>
      <c r="E51" s="77"/>
      <c r="F51" s="77"/>
      <c r="G51" s="77"/>
      <c r="H51" s="77"/>
      <c r="I51" s="77"/>
      <c r="J51" s="77"/>
      <c r="K51" s="77"/>
      <c r="L51" s="77"/>
      <c r="M51" s="77"/>
      <c r="N51" s="77"/>
      <c r="O51" s="77"/>
      <c r="P51" s="77"/>
      <c r="Q51" s="77"/>
      <c r="R51" s="77"/>
      <c r="S51" s="77"/>
      <c r="T51" s="77"/>
      <c r="U51" s="77"/>
      <c r="V51" s="77"/>
      <c r="W51" s="77"/>
      <c r="X51" s="77"/>
      <c r="Y51" s="77"/>
      <c r="Z51" s="77"/>
    </row>
    <row r="52" spans="1:26" x14ac:dyDescent="0.2">
      <c r="A52" s="77"/>
      <c r="B52" s="77"/>
      <c r="C52" s="77"/>
      <c r="D52" s="77"/>
      <c r="E52" s="77"/>
      <c r="F52" s="77"/>
      <c r="G52" s="77"/>
      <c r="H52" s="77"/>
      <c r="I52" s="77"/>
      <c r="J52" s="77"/>
      <c r="K52" s="77"/>
      <c r="L52" s="77"/>
      <c r="M52" s="77"/>
      <c r="N52" s="77"/>
      <c r="O52" s="77"/>
      <c r="P52" s="77"/>
      <c r="Q52" s="77"/>
      <c r="R52" s="77"/>
      <c r="S52" s="77"/>
      <c r="T52" s="77"/>
      <c r="U52" s="77"/>
      <c r="V52" s="77"/>
      <c r="W52" s="77"/>
      <c r="X52" s="77"/>
      <c r="Y52" s="77"/>
      <c r="Z52" s="77"/>
    </row>
    <row r="53" spans="1:26" x14ac:dyDescent="0.2">
      <c r="A53" s="77"/>
      <c r="B53" s="77"/>
      <c r="C53" s="77"/>
      <c r="D53" s="77"/>
      <c r="E53" s="77"/>
      <c r="F53" s="77"/>
      <c r="G53" s="77"/>
      <c r="H53" s="77"/>
      <c r="I53" s="77"/>
      <c r="J53" s="77"/>
      <c r="K53" s="77"/>
      <c r="L53" s="77"/>
      <c r="M53" s="77"/>
      <c r="N53" s="77"/>
      <c r="O53" s="77"/>
      <c r="P53" s="77"/>
      <c r="Q53" s="77"/>
      <c r="R53" s="77"/>
      <c r="S53" s="77"/>
      <c r="T53" s="77"/>
      <c r="U53" s="77"/>
      <c r="V53" s="77"/>
      <c r="W53" s="77"/>
      <c r="X53" s="77"/>
      <c r="Y53" s="77"/>
      <c r="Z53" s="77"/>
    </row>
    <row r="54" spans="1:26" x14ac:dyDescent="0.2">
      <c r="A54" s="77"/>
      <c r="B54" s="77"/>
      <c r="C54" s="77"/>
      <c r="D54" s="77"/>
      <c r="E54" s="77"/>
      <c r="F54" s="77"/>
      <c r="G54" s="77"/>
      <c r="H54" s="77"/>
      <c r="I54" s="77"/>
      <c r="J54" s="77"/>
      <c r="K54" s="77"/>
      <c r="L54" s="77"/>
      <c r="M54" s="77"/>
      <c r="N54" s="77"/>
      <c r="O54" s="77"/>
      <c r="P54" s="77"/>
      <c r="Q54" s="77"/>
      <c r="R54" s="77"/>
      <c r="S54" s="77"/>
      <c r="T54" s="77"/>
      <c r="U54" s="77"/>
      <c r="V54" s="77"/>
      <c r="W54" s="77"/>
      <c r="X54" s="77"/>
      <c r="Y54" s="77"/>
      <c r="Z54" s="77"/>
    </row>
    <row r="55" spans="1:26" x14ac:dyDescent="0.2">
      <c r="A55" s="77"/>
      <c r="B55" s="77"/>
      <c r="C55" s="77"/>
      <c r="D55" s="77"/>
      <c r="E55" s="77"/>
      <c r="F55" s="77"/>
      <c r="G55" s="77"/>
      <c r="H55" s="77"/>
      <c r="I55" s="77"/>
      <c r="J55" s="77"/>
      <c r="K55" s="77"/>
      <c r="L55" s="77"/>
      <c r="M55" s="77"/>
      <c r="N55" s="77"/>
      <c r="O55" s="77"/>
      <c r="P55" s="77"/>
      <c r="Q55" s="77"/>
      <c r="R55" s="77"/>
      <c r="S55" s="77"/>
      <c r="T55" s="77"/>
      <c r="U55" s="77"/>
      <c r="V55" s="77"/>
      <c r="W55" s="77"/>
      <c r="X55" s="77"/>
      <c r="Y55" s="77"/>
      <c r="Z55" s="77"/>
    </row>
    <row r="56" spans="1:26" x14ac:dyDescent="0.2">
      <c r="A56" s="77"/>
      <c r="B56" s="77"/>
      <c r="C56" s="77"/>
      <c r="D56" s="77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77"/>
      <c r="S56" s="77"/>
      <c r="T56" s="77"/>
      <c r="U56" s="77"/>
      <c r="V56" s="77"/>
      <c r="W56" s="77"/>
      <c r="X56" s="77"/>
      <c r="Y56" s="77"/>
      <c r="Z56" s="77"/>
    </row>
    <row r="57" spans="1:26" x14ac:dyDescent="0.2">
      <c r="A57" s="77"/>
      <c r="B57" s="77"/>
      <c r="C57" s="77"/>
      <c r="D57" s="77"/>
      <c r="E57" s="77"/>
      <c r="F57" s="77"/>
      <c r="G57" s="77"/>
      <c r="H57" s="77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</row>
  </sheetData>
  <sheetProtection password="C52D" sheet="1" objects="1" scenarios="1"/>
  <mergeCells count="2">
    <mergeCell ref="L11:M11"/>
    <mergeCell ref="L12:N12"/>
  </mergeCells>
  <conditionalFormatting sqref="L11:O11">
    <cfRule type="expression" dxfId="10" priority="10" stopIfTrue="1">
      <formula>$A$1="Common"</formula>
    </cfRule>
  </conditionalFormatting>
  <conditionalFormatting sqref="L12:O12">
    <cfRule type="expression" dxfId="9" priority="7" stopIfTrue="1">
      <formula>$A$1="Separate"</formula>
    </cfRule>
  </conditionalFormatting>
  <conditionalFormatting sqref="N27:N29">
    <cfRule type="expression" dxfId="8" priority="33" stopIfTrue="1">
      <formula>NOT(AND(OR(equipment_type="Padmount Substation",equipment_type="Pole mounted substation"),config="Separate"))</formula>
    </cfRule>
  </conditionalFormatting>
  <conditionalFormatting sqref="M25:O25">
    <cfRule type="expression" dxfId="7" priority="5" stopIfTrue="1">
      <formula>AND(config="Separate",NOT(OR(equipment_type="Pole mounted substation",equipment_type="Padmount substation")))</formula>
    </cfRule>
  </conditionalFormatting>
  <conditionalFormatting sqref="D25:J25">
    <cfRule type="expression" dxfId="6" priority="4" stopIfTrue="1">
      <formula>$B$2="No"</formula>
    </cfRule>
  </conditionalFormatting>
  <conditionalFormatting sqref="F24:G24">
    <cfRule type="expression" dxfId="5" priority="3" stopIfTrue="1">
      <formula>$B$2="No"</formula>
    </cfRule>
  </conditionalFormatting>
  <conditionalFormatting sqref="F26:G26">
    <cfRule type="expression" dxfId="4" priority="2" stopIfTrue="1">
      <formula>$B$2="No"</formula>
    </cfRule>
  </conditionalFormatting>
  <conditionalFormatting sqref="K25:L25">
    <cfRule type="expression" dxfId="3" priority="1" stopIfTrue="1">
      <formula>$A$1="Separate"</formula>
    </cfRule>
  </conditionalFormatting>
  <pageMargins left="0.7" right="0.7" top="0.75" bottom="0.75" header="0.3" footer="0.3"/>
  <pageSetup paperSize="9" scale="52" orientation="portrait" r:id="rId1"/>
  <colBreaks count="1" manualBreakCount="1">
    <brk id="18" max="35" man="1"/>
  </colBreaks>
  <drawing r:id="rId2"/>
  <legacyDrawing r:id="rId3"/>
  <controls>
    <mc:AlternateContent xmlns:mc="http://schemas.openxmlformats.org/markup-compatibility/2006">
      <mc:Choice Requires="x14">
        <control shapeId="44038" r:id="rId4" name="LV_resistor">
          <controlPr defaultSize="0" autoLine="0" r:id="rId5">
            <anchor moveWithCells="1">
              <from>
                <xdr:col>11</xdr:col>
                <xdr:colOff>409575</xdr:colOff>
                <xdr:row>23</xdr:row>
                <xdr:rowOff>47625</xdr:rowOff>
              </from>
              <to>
                <xdr:col>12</xdr:col>
                <xdr:colOff>438150</xdr:colOff>
                <xdr:row>32</xdr:row>
                <xdr:rowOff>133350</xdr:rowOff>
              </to>
            </anchor>
          </controlPr>
        </control>
      </mc:Choice>
      <mc:Fallback>
        <control shapeId="44038" r:id="rId4" name="LV_resistor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pageSetUpPr fitToPage="1"/>
  </sheetPr>
  <dimension ref="A1:DL273"/>
  <sheetViews>
    <sheetView zoomScale="85" zoomScaleNormal="85" zoomScaleSheetLayoutView="100" workbookViewId="0">
      <selection activeCell="C5" sqref="C5"/>
    </sheetView>
  </sheetViews>
  <sheetFormatPr defaultColWidth="9.140625" defaultRowHeight="12.75" x14ac:dyDescent="0.2"/>
  <cols>
    <col min="1" max="1" width="9.140625" style="245"/>
    <col min="2" max="2" width="29.28515625" style="245" customWidth="1"/>
    <col min="3" max="3" width="27.42578125" style="245" customWidth="1"/>
    <col min="4" max="4" width="28.28515625" style="245" customWidth="1"/>
    <col min="5" max="5" width="21.42578125" style="245" customWidth="1"/>
    <col min="6" max="6" width="20.140625" style="245" bestFit="1" customWidth="1"/>
    <col min="7" max="7" width="19.140625" style="245" customWidth="1"/>
    <col min="8" max="8" width="11.42578125" style="245" bestFit="1" customWidth="1"/>
    <col min="9" max="10" width="9.140625" style="251" customWidth="1"/>
    <col min="11" max="11" width="8.5703125" style="251" customWidth="1"/>
    <col min="12" max="14" width="9.140625" style="251" customWidth="1"/>
    <col min="15" max="15" width="12.42578125" style="251" bestFit="1" customWidth="1"/>
    <col min="16" max="65" width="9.140625" style="244" customWidth="1"/>
    <col min="66" max="66" width="12" style="244" bestFit="1" customWidth="1"/>
    <col min="67" max="116" width="9.140625" style="244" customWidth="1"/>
    <col min="117" max="16384" width="9.140625" style="245"/>
  </cols>
  <sheetData>
    <row r="1" spans="1:15" ht="13.5" thickBot="1" x14ac:dyDescent="0.25">
      <c r="A1" s="292"/>
      <c r="B1" s="292"/>
      <c r="C1" s="292"/>
      <c r="D1" s="292"/>
      <c r="E1" s="292"/>
      <c r="F1" s="292"/>
      <c r="G1" s="292"/>
      <c r="H1" s="292"/>
      <c r="I1" s="244"/>
      <c r="J1" s="244"/>
      <c r="K1" s="244"/>
      <c r="L1" s="244"/>
      <c r="M1" s="244"/>
      <c r="N1" s="244"/>
      <c r="O1" s="244"/>
    </row>
    <row r="2" spans="1:15" ht="32.25" thickBot="1" x14ac:dyDescent="0.25">
      <c r="A2" s="292"/>
      <c r="B2" s="644" t="s">
        <v>70</v>
      </c>
      <c r="C2" s="645"/>
      <c r="D2" s="645"/>
      <c r="E2" s="645"/>
      <c r="F2" s="646"/>
      <c r="G2" s="292"/>
      <c r="H2" s="292"/>
      <c r="I2" s="244"/>
      <c r="J2" s="244"/>
      <c r="K2" s="244"/>
      <c r="L2" s="244"/>
      <c r="M2" s="244"/>
      <c r="N2" s="244"/>
      <c r="O2" s="244"/>
    </row>
    <row r="3" spans="1:15" ht="13.5" thickBot="1" x14ac:dyDescent="0.25">
      <c r="A3" s="292"/>
      <c r="B3" s="246" t="s">
        <v>64</v>
      </c>
      <c r="C3" s="639" t="s">
        <v>367</v>
      </c>
      <c r="D3" s="640"/>
      <c r="E3" s="247" t="s">
        <v>65</v>
      </c>
      <c r="F3" s="246" t="s">
        <v>66</v>
      </c>
      <c r="G3" s="292"/>
      <c r="H3" s="292"/>
      <c r="I3" s="244"/>
      <c r="J3" s="244"/>
      <c r="K3" s="244"/>
      <c r="L3" s="244"/>
      <c r="M3" s="244"/>
      <c r="N3" s="244"/>
      <c r="O3" s="244"/>
    </row>
    <row r="4" spans="1:15" ht="15.75" thickBot="1" x14ac:dyDescent="0.3">
      <c r="A4" s="292"/>
      <c r="B4" s="300" t="str">
        <f>IF(prj_num&lt;&gt;"",prj_num,"")</f>
        <v/>
      </c>
      <c r="C4" s="647"/>
      <c r="D4" s="648"/>
      <c r="E4" s="282"/>
      <c r="F4" s="283"/>
      <c r="G4" s="293"/>
      <c r="H4" s="292"/>
      <c r="I4" s="244"/>
      <c r="J4" s="244"/>
      <c r="K4" s="244"/>
      <c r="L4" s="244"/>
      <c r="M4" s="244"/>
      <c r="N4" s="244"/>
      <c r="O4" s="244"/>
    </row>
    <row r="5" spans="1:15" ht="15.75" thickBot="1" x14ac:dyDescent="0.25">
      <c r="A5" s="292"/>
      <c r="B5" s="248" t="s">
        <v>388</v>
      </c>
      <c r="C5" s="284"/>
      <c r="D5" s="246" t="s">
        <v>385</v>
      </c>
      <c r="E5" s="649"/>
      <c r="F5" s="650"/>
      <c r="G5" s="294"/>
      <c r="H5" s="292"/>
      <c r="I5" s="244"/>
      <c r="J5" s="244"/>
      <c r="K5" s="244"/>
      <c r="L5" s="244"/>
      <c r="M5" s="244"/>
      <c r="N5" s="244"/>
      <c r="O5" s="244"/>
    </row>
    <row r="6" spans="1:15" ht="13.5" thickBot="1" x14ac:dyDescent="0.25">
      <c r="A6" s="292"/>
      <c r="B6" s="294"/>
      <c r="C6" s="294"/>
      <c r="D6" s="294"/>
      <c r="E6" s="294"/>
      <c r="F6" s="294"/>
      <c r="G6" s="294"/>
      <c r="H6" s="292"/>
      <c r="I6" s="244"/>
      <c r="J6" s="244"/>
      <c r="K6" s="244"/>
      <c r="L6" s="244"/>
      <c r="M6" s="244"/>
      <c r="N6" s="244"/>
      <c r="O6" s="244"/>
    </row>
    <row r="7" spans="1:15" ht="13.5" thickBot="1" x14ac:dyDescent="0.25">
      <c r="A7" s="292"/>
      <c r="B7" s="246" t="s">
        <v>386</v>
      </c>
      <c r="C7" s="246" t="s">
        <v>67</v>
      </c>
      <c r="D7" s="249" t="s">
        <v>68</v>
      </c>
      <c r="E7" s="246" t="s">
        <v>156</v>
      </c>
      <c r="F7" s="250" t="s">
        <v>157</v>
      </c>
      <c r="G7" s="294"/>
      <c r="H7" s="292"/>
      <c r="I7" s="244"/>
      <c r="J7" s="244"/>
      <c r="K7" s="244"/>
      <c r="L7" s="244"/>
      <c r="M7" s="244"/>
      <c r="N7" s="244"/>
      <c r="O7" s="244"/>
    </row>
    <row r="8" spans="1:15" ht="15.75" thickBot="1" x14ac:dyDescent="0.3">
      <c r="A8" s="292"/>
      <c r="B8" s="285"/>
      <c r="C8" s="285"/>
      <c r="D8" s="285"/>
      <c r="E8" s="285"/>
      <c r="F8" s="286"/>
      <c r="G8" s="294"/>
      <c r="H8" s="292"/>
      <c r="I8" s="244"/>
      <c r="J8" s="244"/>
      <c r="K8" s="244"/>
      <c r="L8" s="244"/>
      <c r="M8" s="244"/>
      <c r="N8" s="244"/>
      <c r="O8" s="244"/>
    </row>
    <row r="9" spans="1:15" ht="13.5" thickBot="1" x14ac:dyDescent="0.25">
      <c r="A9" s="292"/>
      <c r="B9" s="292"/>
      <c r="C9" s="292"/>
      <c r="D9" s="292"/>
      <c r="E9" s="292"/>
      <c r="F9" s="292"/>
      <c r="G9" s="292"/>
      <c r="H9" s="292"/>
      <c r="I9" s="244"/>
      <c r="J9" s="244"/>
      <c r="K9" s="244"/>
      <c r="L9" s="244"/>
      <c r="M9" s="244"/>
      <c r="N9" s="244"/>
      <c r="O9" s="244"/>
    </row>
    <row r="10" spans="1:15" ht="13.5" thickBot="1" x14ac:dyDescent="0.25">
      <c r="A10" s="292"/>
      <c r="B10" s="246" t="s">
        <v>69</v>
      </c>
      <c r="C10" s="246" t="s">
        <v>368</v>
      </c>
      <c r="D10" s="246" t="s">
        <v>369</v>
      </c>
      <c r="E10" s="246" t="s">
        <v>370</v>
      </c>
      <c r="F10" s="249" t="s">
        <v>371</v>
      </c>
      <c r="G10" s="292"/>
      <c r="H10" s="292"/>
      <c r="I10" s="244"/>
      <c r="J10" s="244"/>
      <c r="K10" s="244"/>
      <c r="L10" s="244"/>
      <c r="M10" s="244"/>
      <c r="N10" s="244"/>
      <c r="O10" s="244"/>
    </row>
    <row r="11" spans="1:15" ht="15" x14ac:dyDescent="0.25">
      <c r="A11" s="292"/>
      <c r="B11" s="328"/>
      <c r="C11" s="329"/>
      <c r="D11" s="329"/>
      <c r="E11" s="287"/>
      <c r="F11" s="303" t="str">
        <f>IF(SUM(C11:E11) = 0,"",AVERAGE(C11:E11))</f>
        <v/>
      </c>
      <c r="G11" s="292"/>
      <c r="H11" s="292"/>
      <c r="I11" s="244"/>
      <c r="J11" s="244"/>
      <c r="K11" s="244"/>
      <c r="L11" s="244"/>
      <c r="M11" s="244"/>
      <c r="N11" s="244"/>
      <c r="O11" s="244"/>
    </row>
    <row r="12" spans="1:15" ht="15" x14ac:dyDescent="0.25">
      <c r="A12" s="292"/>
      <c r="B12" s="328"/>
      <c r="C12" s="329"/>
      <c r="D12" s="329"/>
      <c r="E12" s="288"/>
      <c r="F12" s="304" t="str">
        <f t="shared" ref="F12:F18" si="0">IF(SUM(C12:E12) = 0,"",AVERAGE(C12:E12))</f>
        <v/>
      </c>
      <c r="G12" s="292"/>
      <c r="H12" s="292"/>
      <c r="I12" s="244"/>
      <c r="J12" s="244"/>
      <c r="K12" s="244"/>
      <c r="L12" s="244"/>
      <c r="M12" s="244"/>
      <c r="N12" s="244"/>
      <c r="O12" s="244"/>
    </row>
    <row r="13" spans="1:15" ht="15" x14ac:dyDescent="0.25">
      <c r="A13" s="292"/>
      <c r="B13" s="328"/>
      <c r="C13" s="329"/>
      <c r="D13" s="329"/>
      <c r="E13" s="288"/>
      <c r="F13" s="304" t="str">
        <f t="shared" si="0"/>
        <v/>
      </c>
      <c r="G13" s="292"/>
      <c r="H13" s="292"/>
      <c r="I13" s="244"/>
      <c r="J13" s="244"/>
      <c r="K13" s="244"/>
      <c r="L13" s="244"/>
      <c r="M13" s="244"/>
      <c r="N13" s="244"/>
      <c r="O13" s="244"/>
    </row>
    <row r="14" spans="1:15" ht="15" x14ac:dyDescent="0.25">
      <c r="A14" s="292"/>
      <c r="B14" s="328"/>
      <c r="C14" s="329"/>
      <c r="D14" s="329"/>
      <c r="E14" s="288"/>
      <c r="F14" s="304" t="str">
        <f t="shared" si="0"/>
        <v/>
      </c>
      <c r="G14" s="292"/>
      <c r="H14" s="292"/>
      <c r="I14" s="244"/>
      <c r="J14" s="244"/>
      <c r="K14" s="244"/>
      <c r="L14" s="244"/>
      <c r="M14" s="244"/>
      <c r="N14" s="244"/>
      <c r="O14" s="244"/>
    </row>
    <row r="15" spans="1:15" ht="15" x14ac:dyDescent="0.25">
      <c r="A15" s="292"/>
      <c r="B15" s="328"/>
      <c r="C15" s="329"/>
      <c r="D15" s="329"/>
      <c r="E15" s="288"/>
      <c r="F15" s="304" t="str">
        <f t="shared" si="0"/>
        <v/>
      </c>
      <c r="G15" s="292"/>
      <c r="H15" s="292"/>
      <c r="I15" s="244"/>
      <c r="J15" s="244"/>
      <c r="K15" s="244"/>
      <c r="L15" s="244"/>
      <c r="M15" s="244"/>
      <c r="N15" s="244"/>
      <c r="O15" s="244"/>
    </row>
    <row r="16" spans="1:15" ht="15" x14ac:dyDescent="0.25">
      <c r="A16" s="292"/>
      <c r="B16" s="330"/>
      <c r="C16" s="329"/>
      <c r="D16" s="288"/>
      <c r="E16" s="288"/>
      <c r="F16" s="304" t="str">
        <f t="shared" si="0"/>
        <v/>
      </c>
      <c r="G16" s="292"/>
      <c r="H16" s="292"/>
      <c r="I16" s="244"/>
      <c r="J16" s="244"/>
      <c r="K16" s="244"/>
      <c r="L16" s="244"/>
      <c r="M16" s="244"/>
      <c r="N16" s="244"/>
      <c r="O16" s="244"/>
    </row>
    <row r="17" spans="1:15" ht="15" x14ac:dyDescent="0.25">
      <c r="A17" s="292"/>
      <c r="B17" s="289"/>
      <c r="C17" s="288"/>
      <c r="D17" s="288"/>
      <c r="E17" s="288"/>
      <c r="F17" s="304" t="str">
        <f t="shared" si="0"/>
        <v/>
      </c>
      <c r="G17" s="292"/>
      <c r="H17" s="292"/>
      <c r="O17" s="244"/>
    </row>
    <row r="18" spans="1:15" ht="15.75" thickBot="1" x14ac:dyDescent="0.3">
      <c r="A18" s="292"/>
      <c r="B18" s="290"/>
      <c r="C18" s="291"/>
      <c r="D18" s="291"/>
      <c r="E18" s="291"/>
      <c r="F18" s="305" t="str">
        <f t="shared" si="0"/>
        <v/>
      </c>
      <c r="G18" s="292"/>
      <c r="H18" s="292"/>
      <c r="O18" s="244"/>
    </row>
    <row r="19" spans="1:15" ht="13.5" thickBot="1" x14ac:dyDescent="0.25">
      <c r="A19" s="295"/>
      <c r="B19" s="296">
        <f>MAX(B11:B18)/2</f>
        <v>0</v>
      </c>
      <c r="C19" s="295"/>
      <c r="D19" s="295"/>
      <c r="E19" s="292"/>
      <c r="F19" s="292"/>
      <c r="G19" s="292"/>
      <c r="H19" s="292"/>
      <c r="O19" s="244"/>
    </row>
    <row r="20" spans="1:15" ht="13.5" thickBot="1" x14ac:dyDescent="0.25">
      <c r="A20" s="295"/>
      <c r="B20" s="255" t="s">
        <v>69</v>
      </c>
      <c r="C20" s="255" t="s">
        <v>366</v>
      </c>
      <c r="D20" s="297"/>
      <c r="E20" s="641" t="s">
        <v>71</v>
      </c>
      <c r="F20" s="642"/>
      <c r="G20" s="643"/>
      <c r="H20" s="292"/>
      <c r="J20" s="252" t="s">
        <v>141</v>
      </c>
      <c r="K20" s="252" t="s">
        <v>144</v>
      </c>
      <c r="L20" s="252"/>
      <c r="O20" s="244"/>
    </row>
    <row r="21" spans="1:15" ht="15.75" thickBot="1" x14ac:dyDescent="0.25">
      <c r="A21" s="295"/>
      <c r="B21" s="301" t="e">
        <f>IF( B11=0,NA(),B11)</f>
        <v>#N/A</v>
      </c>
      <c r="C21" s="302" t="e">
        <f>IF(F11="",NA(),2*PI()*F11*B21)</f>
        <v>#N/A</v>
      </c>
      <c r="D21" s="297"/>
      <c r="E21" s="254" t="s">
        <v>77</v>
      </c>
      <c r="F21" s="254" t="s">
        <v>387</v>
      </c>
      <c r="G21" s="254" t="s">
        <v>79</v>
      </c>
      <c r="H21" s="292"/>
      <c r="J21" s="252">
        <f>IF(ISNA(C21),0,VLOOKUP(B21,$M$75:$N$124,2))</f>
        <v>0</v>
      </c>
      <c r="K21" s="252">
        <f>IF(ISNA(C21),0,((C21-J21)/C21)^2)</f>
        <v>0</v>
      </c>
      <c r="L21" s="252"/>
      <c r="O21" s="244"/>
    </row>
    <row r="22" spans="1:15" ht="15" x14ac:dyDescent="0.25">
      <c r="A22" s="295"/>
      <c r="B22" s="301" t="e">
        <f t="shared" ref="B22:B28" si="1">IF( B12=0,NA(),B12)</f>
        <v>#N/A</v>
      </c>
      <c r="C22" s="302" t="e">
        <f t="shared" ref="C22:C28" si="2">IF(F12="",NA(),2*PI()*F12*B22)</f>
        <v>#N/A</v>
      </c>
      <c r="D22" s="297"/>
      <c r="E22" s="121">
        <v>1</v>
      </c>
      <c r="F22" s="344"/>
      <c r="G22" s="345"/>
      <c r="H22" s="292"/>
      <c r="J22" s="252">
        <f t="shared" ref="J22:J28" si="3">IF(ISNA(C22),0,VLOOKUP(B22,$M$75:$N$124,2))</f>
        <v>0</v>
      </c>
      <c r="K22" s="252">
        <f t="shared" ref="K22:K28" si="4">IF(ISNA(C22),0,((C22-J22)/C22)^2)</f>
        <v>0</v>
      </c>
      <c r="L22" s="252"/>
      <c r="O22" s="244"/>
    </row>
    <row r="23" spans="1:15" ht="15.75" thickBot="1" x14ac:dyDescent="0.3">
      <c r="A23" s="295"/>
      <c r="B23" s="301" t="e">
        <f t="shared" si="1"/>
        <v>#N/A</v>
      </c>
      <c r="C23" s="302" t="e">
        <f t="shared" si="2"/>
        <v>#N/A</v>
      </c>
      <c r="D23" s="297"/>
      <c r="E23" s="48">
        <v>2</v>
      </c>
      <c r="F23" s="346"/>
      <c r="G23" s="253" t="s">
        <v>78</v>
      </c>
      <c r="H23" s="292"/>
      <c r="J23" s="252">
        <f t="shared" si="3"/>
        <v>0</v>
      </c>
      <c r="K23" s="252">
        <f t="shared" si="4"/>
        <v>0</v>
      </c>
      <c r="L23" s="252"/>
      <c r="O23" s="244"/>
    </row>
    <row r="24" spans="1:15" ht="15.75" thickBot="1" x14ac:dyDescent="0.3">
      <c r="A24" s="295"/>
      <c r="B24" s="301" t="e">
        <f t="shared" si="1"/>
        <v>#N/A</v>
      </c>
      <c r="C24" s="302" t="e">
        <f t="shared" si="2"/>
        <v>#N/A</v>
      </c>
      <c r="D24" s="297"/>
      <c r="E24" s="69" t="s">
        <v>163</v>
      </c>
      <c r="F24" s="225">
        <f>K29</f>
        <v>0</v>
      </c>
      <c r="G24" s="292"/>
      <c r="H24" s="292"/>
      <c r="J24" s="252">
        <f t="shared" si="3"/>
        <v>0</v>
      </c>
      <c r="K24" s="252">
        <f t="shared" si="4"/>
        <v>0</v>
      </c>
      <c r="L24" s="252"/>
      <c r="O24" s="244"/>
    </row>
    <row r="25" spans="1:15" ht="15" x14ac:dyDescent="0.2">
      <c r="A25" s="295"/>
      <c r="B25" s="301" t="e">
        <f t="shared" si="1"/>
        <v>#N/A</v>
      </c>
      <c r="C25" s="302" t="e">
        <f t="shared" si="2"/>
        <v>#N/A</v>
      </c>
      <c r="D25" s="297"/>
      <c r="E25" s="292"/>
      <c r="F25" s="292"/>
      <c r="G25" s="292"/>
      <c r="H25" s="292"/>
      <c r="J25" s="252">
        <f t="shared" si="3"/>
        <v>0</v>
      </c>
      <c r="K25" s="252">
        <f t="shared" si="4"/>
        <v>0</v>
      </c>
      <c r="L25" s="252"/>
      <c r="O25" s="244"/>
    </row>
    <row r="26" spans="1:15" ht="15" x14ac:dyDescent="0.2">
      <c r="A26" s="295"/>
      <c r="B26" s="301" t="e">
        <f t="shared" si="1"/>
        <v>#N/A</v>
      </c>
      <c r="C26" s="302" t="e">
        <f t="shared" si="2"/>
        <v>#N/A</v>
      </c>
      <c r="D26" s="297"/>
      <c r="E26" s="292"/>
      <c r="F26" s="292"/>
      <c r="G26" s="292"/>
      <c r="H26" s="292"/>
      <c r="J26" s="252">
        <f t="shared" si="3"/>
        <v>0</v>
      </c>
      <c r="K26" s="252">
        <f t="shared" si="4"/>
        <v>0</v>
      </c>
      <c r="L26" s="252"/>
      <c r="O26" s="244"/>
    </row>
    <row r="27" spans="1:15" ht="15" x14ac:dyDescent="0.2">
      <c r="A27" s="295"/>
      <c r="B27" s="301" t="e">
        <f t="shared" si="1"/>
        <v>#N/A</v>
      </c>
      <c r="C27" s="302" t="e">
        <f t="shared" si="2"/>
        <v>#N/A</v>
      </c>
      <c r="D27" s="297"/>
      <c r="E27" s="292"/>
      <c r="F27" s="292"/>
      <c r="G27" s="292"/>
      <c r="H27" s="292"/>
      <c r="J27" s="252">
        <f>IF(ISNA(C27),0,VLOOKUP(B27,$M$75:$N$124,2))</f>
        <v>0</v>
      </c>
      <c r="K27" s="252">
        <f t="shared" si="4"/>
        <v>0</v>
      </c>
      <c r="L27" s="252"/>
      <c r="O27" s="244"/>
    </row>
    <row r="28" spans="1:15" ht="15" x14ac:dyDescent="0.2">
      <c r="A28" s="295"/>
      <c r="B28" s="301" t="e">
        <f t="shared" si="1"/>
        <v>#N/A</v>
      </c>
      <c r="C28" s="302" t="e">
        <f t="shared" si="2"/>
        <v>#N/A</v>
      </c>
      <c r="D28" s="297"/>
      <c r="E28" s="292"/>
      <c r="F28" s="292"/>
      <c r="G28" s="292"/>
      <c r="H28" s="292"/>
      <c r="J28" s="252">
        <f t="shared" si="3"/>
        <v>0</v>
      </c>
      <c r="K28" s="252">
        <f t="shared" si="4"/>
        <v>0</v>
      </c>
      <c r="L28" s="252"/>
      <c r="O28" s="244"/>
    </row>
    <row r="29" spans="1:15" x14ac:dyDescent="0.2">
      <c r="A29" s="295"/>
      <c r="B29" s="295"/>
      <c r="C29" s="295"/>
      <c r="D29" s="295"/>
      <c r="E29" s="292"/>
      <c r="F29" s="292"/>
      <c r="G29" s="292"/>
      <c r="H29" s="292"/>
      <c r="J29" s="252" t="s">
        <v>142</v>
      </c>
      <c r="K29" s="252">
        <f>SQRT(SUM(K21:K28))</f>
        <v>0</v>
      </c>
      <c r="L29" s="252" t="s">
        <v>143</v>
      </c>
      <c r="O29" s="244"/>
    </row>
    <row r="30" spans="1:15" ht="18.75" x14ac:dyDescent="0.3">
      <c r="A30" s="295"/>
      <c r="B30" s="298"/>
      <c r="C30" s="299" t="str">
        <f>IF(COUNT(B11:B18)&lt;5,"WARNING: A minimum of 5 test spacings must be used to accurately determine a model","")</f>
        <v>WARNING: A minimum of 5 test spacings must be used to accurately determine a model</v>
      </c>
      <c r="D30" s="295"/>
      <c r="E30" s="292"/>
      <c r="F30" s="292"/>
      <c r="G30" s="292"/>
      <c r="H30" s="292"/>
      <c r="O30" s="244"/>
    </row>
    <row r="31" spans="1:15" ht="15" x14ac:dyDescent="0.25">
      <c r="A31" s="295"/>
      <c r="B31" s="298"/>
      <c r="C31" s="298"/>
      <c r="D31" s="295"/>
      <c r="E31" s="292"/>
      <c r="F31" s="292"/>
      <c r="G31" s="292"/>
      <c r="H31" s="292"/>
      <c r="O31" s="244"/>
    </row>
    <row r="32" spans="1:15" x14ac:dyDescent="0.2">
      <c r="A32" s="295"/>
      <c r="B32" s="295"/>
      <c r="C32" s="295"/>
      <c r="D32" s="295"/>
      <c r="E32" s="292"/>
      <c r="F32" s="292"/>
      <c r="G32" s="292"/>
      <c r="H32" s="292"/>
      <c r="O32" s="244"/>
    </row>
    <row r="33" spans="1:15" x14ac:dyDescent="0.2">
      <c r="A33" s="295"/>
      <c r="B33" s="295"/>
      <c r="C33" s="295"/>
      <c r="D33" s="295"/>
      <c r="E33" s="292"/>
      <c r="F33" s="292"/>
      <c r="G33" s="292"/>
      <c r="H33" s="292"/>
      <c r="O33" s="244"/>
    </row>
    <row r="34" spans="1:15" x14ac:dyDescent="0.2">
      <c r="B34" s="292"/>
      <c r="C34" s="292"/>
      <c r="I34" s="244"/>
      <c r="J34" s="244"/>
      <c r="K34" s="244"/>
      <c r="L34" s="244"/>
      <c r="M34" s="244"/>
      <c r="N34" s="244"/>
      <c r="O34" s="244"/>
    </row>
    <row r="35" spans="1:15" x14ac:dyDescent="0.2">
      <c r="I35" s="244"/>
      <c r="J35" s="244"/>
      <c r="K35" s="244"/>
      <c r="L35" s="244"/>
      <c r="M35" s="244"/>
      <c r="N35" s="244"/>
      <c r="O35" s="244"/>
    </row>
    <row r="36" spans="1:15" x14ac:dyDescent="0.2">
      <c r="I36" s="244"/>
      <c r="J36" s="244"/>
      <c r="K36" s="244"/>
      <c r="L36" s="244"/>
      <c r="M36" s="244"/>
      <c r="N36" s="244"/>
      <c r="O36" s="244"/>
    </row>
    <row r="37" spans="1:15" x14ac:dyDescent="0.2">
      <c r="I37" s="244"/>
      <c r="J37" s="244"/>
      <c r="K37" s="244"/>
      <c r="L37" s="244"/>
      <c r="M37" s="244"/>
      <c r="N37" s="244"/>
      <c r="O37" s="244"/>
    </row>
    <row r="38" spans="1:15" x14ac:dyDescent="0.2">
      <c r="I38" s="244"/>
      <c r="J38" s="244"/>
      <c r="K38" s="244"/>
      <c r="L38" s="244"/>
      <c r="M38" s="244"/>
      <c r="N38" s="244"/>
      <c r="O38" s="244"/>
    </row>
    <row r="39" spans="1:15" x14ac:dyDescent="0.2">
      <c r="I39" s="244"/>
      <c r="J39" s="244"/>
      <c r="K39" s="244"/>
      <c r="L39" s="244"/>
      <c r="M39" s="244"/>
      <c r="N39" s="244"/>
      <c r="O39" s="244"/>
    </row>
    <row r="40" spans="1:15" x14ac:dyDescent="0.2">
      <c r="I40" s="244"/>
      <c r="J40" s="244"/>
      <c r="K40" s="244"/>
      <c r="L40" s="244"/>
      <c r="M40" s="244"/>
      <c r="N40" s="244"/>
      <c r="O40" s="244"/>
    </row>
    <row r="41" spans="1:15" x14ac:dyDescent="0.2">
      <c r="I41" s="244"/>
      <c r="J41" s="244"/>
      <c r="K41" s="244"/>
      <c r="L41" s="244"/>
      <c r="M41" s="244"/>
      <c r="N41" s="244"/>
      <c r="O41" s="244"/>
    </row>
    <row r="42" spans="1:15" x14ac:dyDescent="0.2">
      <c r="I42" s="244"/>
      <c r="J42" s="244"/>
      <c r="K42" s="244"/>
      <c r="L42" s="244"/>
      <c r="M42" s="244"/>
      <c r="N42" s="244"/>
      <c r="O42" s="244"/>
    </row>
    <row r="43" spans="1:15" x14ac:dyDescent="0.2">
      <c r="I43" s="244"/>
      <c r="J43" s="244"/>
      <c r="K43" s="244"/>
      <c r="L43" s="244"/>
      <c r="M43" s="244"/>
      <c r="N43" s="244"/>
      <c r="O43" s="244"/>
    </row>
    <row r="44" spans="1:15" x14ac:dyDescent="0.2">
      <c r="I44" s="244"/>
      <c r="J44" s="244"/>
      <c r="K44" s="244"/>
      <c r="L44" s="244"/>
      <c r="M44" s="244"/>
      <c r="N44" s="244"/>
      <c r="O44" s="244"/>
    </row>
    <row r="45" spans="1:15" x14ac:dyDescent="0.2">
      <c r="I45" s="244"/>
      <c r="J45" s="244"/>
      <c r="K45" s="244"/>
      <c r="L45" s="244"/>
      <c r="M45" s="244"/>
      <c r="N45" s="244"/>
      <c r="O45" s="244"/>
    </row>
    <row r="46" spans="1:15" x14ac:dyDescent="0.2">
      <c r="I46" s="244"/>
      <c r="J46" s="244"/>
      <c r="K46" s="244"/>
      <c r="L46" s="244"/>
      <c r="M46" s="244"/>
      <c r="N46" s="244"/>
      <c r="O46" s="244"/>
    </row>
    <row r="47" spans="1:15" x14ac:dyDescent="0.2">
      <c r="I47" s="244"/>
      <c r="J47" s="244"/>
      <c r="K47" s="244"/>
      <c r="L47" s="244"/>
      <c r="M47" s="244"/>
      <c r="N47" s="244"/>
      <c r="O47" s="244"/>
    </row>
    <row r="48" spans="1:15" x14ac:dyDescent="0.2">
      <c r="I48" s="244"/>
      <c r="J48" s="244"/>
      <c r="K48" s="244"/>
      <c r="L48" s="244"/>
      <c r="M48" s="244"/>
      <c r="N48" s="244"/>
      <c r="O48" s="244"/>
    </row>
    <row r="49" spans="9:15" x14ac:dyDescent="0.2">
      <c r="I49" s="244"/>
      <c r="J49" s="244"/>
      <c r="K49" s="244"/>
      <c r="L49" s="244"/>
      <c r="M49" s="244"/>
      <c r="N49" s="244"/>
      <c r="O49" s="244"/>
    </row>
    <row r="50" spans="9:15" x14ac:dyDescent="0.2">
      <c r="I50" s="244"/>
      <c r="J50" s="244"/>
      <c r="K50" s="244"/>
      <c r="L50" s="244"/>
      <c r="M50" s="244"/>
      <c r="N50" s="244"/>
      <c r="O50" s="244"/>
    </row>
    <row r="51" spans="9:15" x14ac:dyDescent="0.2">
      <c r="I51" s="244"/>
      <c r="J51" s="244"/>
      <c r="K51" s="244"/>
      <c r="L51" s="244"/>
      <c r="M51" s="244"/>
      <c r="N51" s="244"/>
      <c r="O51" s="244"/>
    </row>
    <row r="52" spans="9:15" x14ac:dyDescent="0.2">
      <c r="I52" s="244"/>
      <c r="J52" s="244"/>
      <c r="K52" s="244"/>
      <c r="L52" s="244"/>
      <c r="M52" s="244"/>
      <c r="N52" s="244"/>
      <c r="O52" s="244"/>
    </row>
    <row r="53" spans="9:15" x14ac:dyDescent="0.2">
      <c r="I53" s="244"/>
      <c r="J53" s="244"/>
      <c r="K53" s="244"/>
      <c r="L53" s="244"/>
      <c r="M53" s="244"/>
      <c r="N53" s="244"/>
      <c r="O53" s="244"/>
    </row>
    <row r="54" spans="9:15" x14ac:dyDescent="0.2">
      <c r="I54" s="244"/>
      <c r="J54" s="244"/>
      <c r="K54" s="244"/>
      <c r="L54" s="244"/>
      <c r="M54" s="244"/>
      <c r="N54" s="244"/>
      <c r="O54" s="244"/>
    </row>
    <row r="55" spans="9:15" x14ac:dyDescent="0.2">
      <c r="I55" s="244"/>
      <c r="J55" s="244"/>
      <c r="K55" s="244"/>
      <c r="L55" s="244"/>
      <c r="M55" s="244"/>
      <c r="N55" s="244"/>
      <c r="O55" s="244"/>
    </row>
    <row r="56" spans="9:15" x14ac:dyDescent="0.2">
      <c r="I56" s="244"/>
      <c r="J56" s="244"/>
      <c r="K56" s="244"/>
      <c r="L56" s="244"/>
      <c r="M56" s="244"/>
      <c r="N56" s="244"/>
      <c r="O56" s="244"/>
    </row>
    <row r="57" spans="9:15" x14ac:dyDescent="0.2">
      <c r="I57" s="244"/>
      <c r="J57" s="244"/>
      <c r="K57" s="244"/>
      <c r="L57" s="244"/>
      <c r="M57" s="244"/>
      <c r="N57" s="244"/>
      <c r="O57" s="244"/>
    </row>
    <row r="58" spans="9:15" x14ac:dyDescent="0.2">
      <c r="I58" s="244"/>
      <c r="J58" s="244"/>
      <c r="K58" s="244"/>
      <c r="L58" s="244"/>
      <c r="M58" s="244"/>
      <c r="N58" s="244"/>
      <c r="O58" s="244"/>
    </row>
    <row r="59" spans="9:15" x14ac:dyDescent="0.2">
      <c r="I59" s="244"/>
      <c r="J59" s="244"/>
      <c r="K59" s="244"/>
      <c r="L59" s="244"/>
      <c r="M59" s="244"/>
      <c r="N59" s="244"/>
      <c r="O59" s="244"/>
    </row>
    <row r="60" spans="9:15" x14ac:dyDescent="0.2">
      <c r="I60" s="244"/>
      <c r="J60" s="244"/>
      <c r="K60" s="244"/>
      <c r="L60" s="244"/>
      <c r="M60" s="244"/>
      <c r="N60" s="244"/>
      <c r="O60" s="244"/>
    </row>
    <row r="61" spans="9:15" x14ac:dyDescent="0.2">
      <c r="I61" s="244"/>
      <c r="J61" s="244"/>
      <c r="K61" s="244"/>
      <c r="L61" s="244"/>
      <c r="M61" s="244"/>
      <c r="N61" s="244"/>
      <c r="O61" s="244"/>
    </row>
    <row r="62" spans="9:15" x14ac:dyDescent="0.2">
      <c r="I62" s="244"/>
      <c r="J62" s="244"/>
      <c r="K62" s="244"/>
      <c r="L62" s="244"/>
      <c r="M62" s="244"/>
      <c r="N62" s="244"/>
      <c r="O62" s="244"/>
    </row>
    <row r="63" spans="9:15" x14ac:dyDescent="0.2">
      <c r="I63" s="244"/>
      <c r="J63" s="244"/>
      <c r="K63" s="244"/>
      <c r="L63" s="244"/>
      <c r="M63" s="244"/>
      <c r="N63" s="244"/>
      <c r="O63" s="244"/>
    </row>
    <row r="64" spans="9:15" x14ac:dyDescent="0.2">
      <c r="I64" s="244"/>
      <c r="J64" s="244"/>
      <c r="K64" s="244"/>
      <c r="L64" s="244"/>
      <c r="M64" s="244"/>
      <c r="N64" s="244"/>
      <c r="O64" s="244"/>
    </row>
    <row r="65" spans="9:15" x14ac:dyDescent="0.2">
      <c r="I65" s="244"/>
      <c r="J65" s="244"/>
      <c r="K65" s="244"/>
      <c r="L65" s="244"/>
      <c r="M65" s="244"/>
      <c r="N65" s="244"/>
      <c r="O65" s="244"/>
    </row>
    <row r="66" spans="9:15" x14ac:dyDescent="0.2">
      <c r="I66" s="244"/>
      <c r="J66" s="244"/>
      <c r="K66" s="244"/>
      <c r="L66" s="244"/>
      <c r="M66" s="244"/>
      <c r="N66" s="244"/>
      <c r="O66" s="244"/>
    </row>
    <row r="67" spans="9:15" x14ac:dyDescent="0.2">
      <c r="I67" s="244"/>
      <c r="J67" s="244"/>
      <c r="K67" s="244"/>
      <c r="L67" s="244"/>
      <c r="M67" s="244"/>
      <c r="N67" s="244"/>
      <c r="O67" s="244"/>
    </row>
    <row r="68" spans="9:15" x14ac:dyDescent="0.2">
      <c r="I68" s="244"/>
      <c r="J68" s="244"/>
      <c r="K68" s="244"/>
      <c r="L68" s="244"/>
      <c r="M68" s="244"/>
      <c r="N68" s="244"/>
      <c r="O68" s="244"/>
    </row>
    <row r="69" spans="9:15" x14ac:dyDescent="0.2">
      <c r="I69" s="244"/>
      <c r="J69" s="244"/>
      <c r="K69" s="244"/>
      <c r="L69" s="244"/>
      <c r="M69" s="244"/>
      <c r="N69" s="244"/>
      <c r="O69" s="244"/>
    </row>
    <row r="70" spans="9:15" x14ac:dyDescent="0.2">
      <c r="I70" s="244"/>
      <c r="J70" s="244"/>
      <c r="O70" s="244"/>
    </row>
    <row r="71" spans="9:15" x14ac:dyDescent="0.2">
      <c r="I71" s="244"/>
      <c r="J71" s="244"/>
      <c r="O71" s="244"/>
    </row>
    <row r="72" spans="9:15" x14ac:dyDescent="0.2">
      <c r="I72" s="244"/>
      <c r="J72" s="244"/>
      <c r="O72" s="244"/>
    </row>
    <row r="73" spans="9:15" x14ac:dyDescent="0.2">
      <c r="I73" s="244"/>
      <c r="J73" s="244"/>
      <c r="O73" s="244"/>
    </row>
    <row r="74" spans="9:15" x14ac:dyDescent="0.2">
      <c r="I74" s="244"/>
      <c r="J74" s="244"/>
      <c r="K74" s="251" t="s">
        <v>71</v>
      </c>
      <c r="M74" s="251" t="s">
        <v>74</v>
      </c>
      <c r="N74" s="251" t="s">
        <v>75</v>
      </c>
      <c r="O74" s="244"/>
    </row>
    <row r="75" spans="9:15" x14ac:dyDescent="0.2">
      <c r="J75" s="244"/>
      <c r="K75" s="251" t="s">
        <v>72</v>
      </c>
      <c r="L75" s="251">
        <f>F22</f>
        <v>0</v>
      </c>
      <c r="M75" s="251">
        <v>0.5</v>
      </c>
      <c r="N75" s="251" t="e">
        <f t="shared" ref="N75:N106" si="5">rho_app(M75,$L$75,$L$76,$G$22)</f>
        <v>#VALUE!</v>
      </c>
      <c r="O75" s="244"/>
    </row>
    <row r="76" spans="9:15" x14ac:dyDescent="0.2">
      <c r="J76" s="244"/>
      <c r="K76" s="251" t="s">
        <v>73</v>
      </c>
      <c r="L76" s="251">
        <f>F23</f>
        <v>0</v>
      </c>
      <c r="M76" s="251">
        <v>1</v>
      </c>
      <c r="N76" s="251" t="e">
        <f t="shared" si="5"/>
        <v>#VALUE!</v>
      </c>
      <c r="O76" s="244"/>
    </row>
    <row r="77" spans="9:15" x14ac:dyDescent="0.2">
      <c r="J77" s="244"/>
      <c r="M77" s="251">
        <v>1.5</v>
      </c>
      <c r="N77" s="251" t="e">
        <f t="shared" si="5"/>
        <v>#VALUE!</v>
      </c>
      <c r="O77" s="244"/>
    </row>
    <row r="78" spans="9:15" x14ac:dyDescent="0.2">
      <c r="J78" s="244"/>
      <c r="K78" s="251" t="s">
        <v>76</v>
      </c>
      <c r="L78" s="251" t="e">
        <f>(L76-L75)/(L76+L75)</f>
        <v>#DIV/0!</v>
      </c>
      <c r="M78" s="251">
        <v>2</v>
      </c>
      <c r="N78" s="251" t="e">
        <f t="shared" si="5"/>
        <v>#VALUE!</v>
      </c>
      <c r="O78" s="244"/>
    </row>
    <row r="79" spans="9:15" x14ac:dyDescent="0.2">
      <c r="J79" s="244"/>
      <c r="M79" s="251">
        <v>2.5</v>
      </c>
      <c r="N79" s="251" t="e">
        <f t="shared" si="5"/>
        <v>#VALUE!</v>
      </c>
      <c r="O79" s="244"/>
    </row>
    <row r="80" spans="9:15" x14ac:dyDescent="0.2">
      <c r="J80" s="244"/>
      <c r="M80" s="251">
        <v>3</v>
      </c>
      <c r="N80" s="251" t="e">
        <f t="shared" si="5"/>
        <v>#VALUE!</v>
      </c>
      <c r="O80" s="244"/>
    </row>
    <row r="81" spans="10:15" x14ac:dyDescent="0.2">
      <c r="J81" s="244"/>
      <c r="M81" s="251">
        <v>3.5</v>
      </c>
      <c r="N81" s="251" t="e">
        <f t="shared" si="5"/>
        <v>#VALUE!</v>
      </c>
      <c r="O81" s="244"/>
    </row>
    <row r="82" spans="10:15" x14ac:dyDescent="0.2">
      <c r="J82" s="244"/>
      <c r="M82" s="251">
        <v>4</v>
      </c>
      <c r="N82" s="251" t="e">
        <f t="shared" si="5"/>
        <v>#VALUE!</v>
      </c>
      <c r="O82" s="244"/>
    </row>
    <row r="83" spans="10:15" x14ac:dyDescent="0.2">
      <c r="J83" s="244"/>
      <c r="M83" s="251">
        <v>4.5</v>
      </c>
      <c r="N83" s="251" t="e">
        <f t="shared" si="5"/>
        <v>#VALUE!</v>
      </c>
      <c r="O83" s="244"/>
    </row>
    <row r="84" spans="10:15" x14ac:dyDescent="0.2">
      <c r="J84" s="244"/>
      <c r="M84" s="251">
        <v>5</v>
      </c>
      <c r="N84" s="251" t="e">
        <f t="shared" si="5"/>
        <v>#VALUE!</v>
      </c>
      <c r="O84" s="244"/>
    </row>
    <row r="85" spans="10:15" x14ac:dyDescent="0.2">
      <c r="J85" s="244"/>
      <c r="M85" s="251">
        <v>5.5</v>
      </c>
      <c r="N85" s="251" t="e">
        <f t="shared" si="5"/>
        <v>#VALUE!</v>
      </c>
      <c r="O85" s="244"/>
    </row>
    <row r="86" spans="10:15" x14ac:dyDescent="0.2">
      <c r="J86" s="244"/>
      <c r="M86" s="251">
        <v>6</v>
      </c>
      <c r="N86" s="251" t="e">
        <f t="shared" si="5"/>
        <v>#VALUE!</v>
      </c>
      <c r="O86" s="244"/>
    </row>
    <row r="87" spans="10:15" x14ac:dyDescent="0.2">
      <c r="J87" s="244"/>
      <c r="M87" s="251">
        <v>6.5</v>
      </c>
      <c r="N87" s="251" t="e">
        <f t="shared" si="5"/>
        <v>#VALUE!</v>
      </c>
      <c r="O87" s="244"/>
    </row>
    <row r="88" spans="10:15" x14ac:dyDescent="0.2">
      <c r="J88" s="244"/>
      <c r="M88" s="251">
        <v>7</v>
      </c>
      <c r="N88" s="251" t="e">
        <f t="shared" si="5"/>
        <v>#VALUE!</v>
      </c>
      <c r="O88" s="244"/>
    </row>
    <row r="89" spans="10:15" x14ac:dyDescent="0.2">
      <c r="J89" s="244"/>
      <c r="M89" s="251">
        <v>7.5</v>
      </c>
      <c r="N89" s="251" t="e">
        <f t="shared" si="5"/>
        <v>#VALUE!</v>
      </c>
      <c r="O89" s="244"/>
    </row>
    <row r="90" spans="10:15" x14ac:dyDescent="0.2">
      <c r="J90" s="244"/>
      <c r="M90" s="251">
        <v>8</v>
      </c>
      <c r="N90" s="251" t="e">
        <f t="shared" si="5"/>
        <v>#VALUE!</v>
      </c>
      <c r="O90" s="244"/>
    </row>
    <row r="91" spans="10:15" x14ac:dyDescent="0.2">
      <c r="J91" s="244"/>
      <c r="M91" s="251">
        <v>8.5</v>
      </c>
      <c r="N91" s="251" t="e">
        <f t="shared" si="5"/>
        <v>#VALUE!</v>
      </c>
      <c r="O91" s="244"/>
    </row>
    <row r="92" spans="10:15" x14ac:dyDescent="0.2">
      <c r="J92" s="244"/>
      <c r="M92" s="251">
        <v>9</v>
      </c>
      <c r="N92" s="251" t="e">
        <f t="shared" si="5"/>
        <v>#VALUE!</v>
      </c>
      <c r="O92" s="244"/>
    </row>
    <row r="93" spans="10:15" x14ac:dyDescent="0.2">
      <c r="J93" s="244"/>
      <c r="M93" s="251">
        <v>9.5</v>
      </c>
      <c r="N93" s="251" t="e">
        <f t="shared" si="5"/>
        <v>#VALUE!</v>
      </c>
      <c r="O93" s="244"/>
    </row>
    <row r="94" spans="10:15" x14ac:dyDescent="0.2">
      <c r="J94" s="244"/>
      <c r="M94" s="251">
        <v>10</v>
      </c>
      <c r="N94" s="251" t="e">
        <f t="shared" si="5"/>
        <v>#VALUE!</v>
      </c>
      <c r="O94" s="244"/>
    </row>
    <row r="95" spans="10:15" x14ac:dyDescent="0.2">
      <c r="J95" s="244"/>
      <c r="M95" s="251">
        <v>10.5</v>
      </c>
      <c r="N95" s="251" t="e">
        <f t="shared" si="5"/>
        <v>#VALUE!</v>
      </c>
      <c r="O95" s="244"/>
    </row>
    <row r="96" spans="10:15" x14ac:dyDescent="0.2">
      <c r="J96" s="244"/>
      <c r="M96" s="251">
        <v>11</v>
      </c>
      <c r="N96" s="251" t="e">
        <f t="shared" si="5"/>
        <v>#VALUE!</v>
      </c>
      <c r="O96" s="244"/>
    </row>
    <row r="97" spans="10:15" x14ac:dyDescent="0.2">
      <c r="J97" s="244"/>
      <c r="M97" s="251">
        <v>11.5</v>
      </c>
      <c r="N97" s="251" t="e">
        <f t="shared" si="5"/>
        <v>#VALUE!</v>
      </c>
      <c r="O97" s="244"/>
    </row>
    <row r="98" spans="10:15" x14ac:dyDescent="0.2">
      <c r="J98" s="244"/>
      <c r="M98" s="251">
        <v>12</v>
      </c>
      <c r="N98" s="251" t="e">
        <f t="shared" si="5"/>
        <v>#VALUE!</v>
      </c>
      <c r="O98" s="244"/>
    </row>
    <row r="99" spans="10:15" x14ac:dyDescent="0.2">
      <c r="J99" s="244"/>
      <c r="M99" s="251">
        <v>12.5</v>
      </c>
      <c r="N99" s="251" t="e">
        <f t="shared" si="5"/>
        <v>#VALUE!</v>
      </c>
      <c r="O99" s="244"/>
    </row>
    <row r="100" spans="10:15" x14ac:dyDescent="0.2">
      <c r="J100" s="244"/>
      <c r="M100" s="251">
        <v>13</v>
      </c>
      <c r="N100" s="251" t="e">
        <f t="shared" si="5"/>
        <v>#VALUE!</v>
      </c>
      <c r="O100" s="244"/>
    </row>
    <row r="101" spans="10:15" x14ac:dyDescent="0.2">
      <c r="J101" s="244"/>
      <c r="M101" s="251">
        <v>13.5</v>
      </c>
      <c r="N101" s="251" t="e">
        <f t="shared" si="5"/>
        <v>#VALUE!</v>
      </c>
      <c r="O101" s="244"/>
    </row>
    <row r="102" spans="10:15" x14ac:dyDescent="0.2">
      <c r="J102" s="244"/>
      <c r="M102" s="251">
        <v>14</v>
      </c>
      <c r="N102" s="251" t="e">
        <f t="shared" si="5"/>
        <v>#VALUE!</v>
      </c>
      <c r="O102" s="244"/>
    </row>
    <row r="103" spans="10:15" x14ac:dyDescent="0.2">
      <c r="J103" s="244"/>
      <c r="M103" s="251">
        <v>14.5</v>
      </c>
      <c r="N103" s="251" t="e">
        <f t="shared" si="5"/>
        <v>#VALUE!</v>
      </c>
      <c r="O103" s="244"/>
    </row>
    <row r="104" spans="10:15" x14ac:dyDescent="0.2">
      <c r="J104" s="244"/>
      <c r="M104" s="251">
        <v>15</v>
      </c>
      <c r="N104" s="251" t="e">
        <f t="shared" si="5"/>
        <v>#VALUE!</v>
      </c>
      <c r="O104" s="244"/>
    </row>
    <row r="105" spans="10:15" x14ac:dyDescent="0.2">
      <c r="J105" s="244"/>
      <c r="M105" s="251">
        <v>15.5</v>
      </c>
      <c r="N105" s="251" t="e">
        <f t="shared" si="5"/>
        <v>#VALUE!</v>
      </c>
      <c r="O105" s="244"/>
    </row>
    <row r="106" spans="10:15" x14ac:dyDescent="0.2">
      <c r="J106" s="244"/>
      <c r="M106" s="251">
        <v>16</v>
      </c>
      <c r="N106" s="251" t="e">
        <f t="shared" si="5"/>
        <v>#VALUE!</v>
      </c>
      <c r="O106" s="244"/>
    </row>
    <row r="107" spans="10:15" x14ac:dyDescent="0.2">
      <c r="J107" s="244"/>
      <c r="M107" s="251">
        <v>16.5</v>
      </c>
      <c r="N107" s="251" t="e">
        <f t="shared" ref="N107:N138" si="6">rho_app(M107,$L$75,$L$76,$G$22)</f>
        <v>#VALUE!</v>
      </c>
      <c r="O107" s="244"/>
    </row>
    <row r="108" spans="10:15" x14ac:dyDescent="0.2">
      <c r="J108" s="244"/>
      <c r="M108" s="251">
        <v>17</v>
      </c>
      <c r="N108" s="251" t="e">
        <f t="shared" si="6"/>
        <v>#VALUE!</v>
      </c>
      <c r="O108" s="244"/>
    </row>
    <row r="109" spans="10:15" x14ac:dyDescent="0.2">
      <c r="J109" s="244"/>
      <c r="M109" s="251">
        <v>17.5</v>
      </c>
      <c r="N109" s="251" t="e">
        <f t="shared" si="6"/>
        <v>#VALUE!</v>
      </c>
      <c r="O109" s="244"/>
    </row>
    <row r="110" spans="10:15" x14ac:dyDescent="0.2">
      <c r="J110" s="244"/>
      <c r="M110" s="251">
        <v>18</v>
      </c>
      <c r="N110" s="251" t="e">
        <f t="shared" si="6"/>
        <v>#VALUE!</v>
      </c>
      <c r="O110" s="244"/>
    </row>
    <row r="111" spans="10:15" x14ac:dyDescent="0.2">
      <c r="J111" s="244"/>
      <c r="M111" s="251">
        <v>18.5</v>
      </c>
      <c r="N111" s="251" t="e">
        <f t="shared" si="6"/>
        <v>#VALUE!</v>
      </c>
      <c r="O111" s="244"/>
    </row>
    <row r="112" spans="10:15" x14ac:dyDescent="0.2">
      <c r="J112" s="244"/>
      <c r="M112" s="251">
        <v>19</v>
      </c>
      <c r="N112" s="251" t="e">
        <f t="shared" si="6"/>
        <v>#VALUE!</v>
      </c>
      <c r="O112" s="244"/>
    </row>
    <row r="113" spans="10:15" x14ac:dyDescent="0.2">
      <c r="J113" s="244"/>
      <c r="M113" s="251">
        <v>19.5</v>
      </c>
      <c r="N113" s="251" t="e">
        <f t="shared" si="6"/>
        <v>#VALUE!</v>
      </c>
      <c r="O113" s="244"/>
    </row>
    <row r="114" spans="10:15" x14ac:dyDescent="0.2">
      <c r="J114" s="244"/>
      <c r="M114" s="251">
        <v>20</v>
      </c>
      <c r="N114" s="251" t="e">
        <f t="shared" si="6"/>
        <v>#VALUE!</v>
      </c>
      <c r="O114" s="244"/>
    </row>
    <row r="115" spans="10:15" x14ac:dyDescent="0.2">
      <c r="J115" s="244"/>
      <c r="M115" s="251">
        <v>21</v>
      </c>
      <c r="N115" s="251" t="e">
        <f t="shared" si="6"/>
        <v>#VALUE!</v>
      </c>
      <c r="O115" s="244"/>
    </row>
    <row r="116" spans="10:15" x14ac:dyDescent="0.2">
      <c r="J116" s="244"/>
      <c r="M116" s="251">
        <v>22</v>
      </c>
      <c r="N116" s="251" t="e">
        <f t="shared" si="6"/>
        <v>#VALUE!</v>
      </c>
      <c r="O116" s="244"/>
    </row>
    <row r="117" spans="10:15" x14ac:dyDescent="0.2">
      <c r="J117" s="244"/>
      <c r="M117" s="251">
        <v>23</v>
      </c>
      <c r="N117" s="251" t="e">
        <f t="shared" si="6"/>
        <v>#VALUE!</v>
      </c>
      <c r="O117" s="244"/>
    </row>
    <row r="118" spans="10:15" x14ac:dyDescent="0.2">
      <c r="J118" s="244"/>
      <c r="M118" s="251">
        <v>24</v>
      </c>
      <c r="N118" s="251" t="e">
        <f t="shared" si="6"/>
        <v>#VALUE!</v>
      </c>
      <c r="O118" s="244"/>
    </row>
    <row r="119" spans="10:15" x14ac:dyDescent="0.2">
      <c r="J119" s="244"/>
      <c r="M119" s="251">
        <v>25</v>
      </c>
      <c r="N119" s="251" t="e">
        <f t="shared" si="6"/>
        <v>#VALUE!</v>
      </c>
      <c r="O119" s="244"/>
    </row>
    <row r="120" spans="10:15" x14ac:dyDescent="0.2">
      <c r="J120" s="244"/>
      <c r="M120" s="251">
        <v>26</v>
      </c>
      <c r="N120" s="251" t="e">
        <f t="shared" si="6"/>
        <v>#VALUE!</v>
      </c>
      <c r="O120" s="244"/>
    </row>
    <row r="121" spans="10:15" x14ac:dyDescent="0.2">
      <c r="J121" s="244"/>
      <c r="M121" s="251">
        <v>27</v>
      </c>
      <c r="N121" s="251" t="e">
        <f t="shared" si="6"/>
        <v>#VALUE!</v>
      </c>
      <c r="O121" s="244"/>
    </row>
    <row r="122" spans="10:15" x14ac:dyDescent="0.2">
      <c r="J122" s="244"/>
      <c r="M122" s="251">
        <v>28</v>
      </c>
      <c r="N122" s="251" t="e">
        <f t="shared" si="6"/>
        <v>#VALUE!</v>
      </c>
      <c r="O122" s="244"/>
    </row>
    <row r="123" spans="10:15" x14ac:dyDescent="0.2">
      <c r="J123" s="244"/>
      <c r="M123" s="251">
        <v>29</v>
      </c>
      <c r="N123" s="251" t="e">
        <f t="shared" si="6"/>
        <v>#VALUE!</v>
      </c>
      <c r="O123" s="244"/>
    </row>
    <row r="124" spans="10:15" x14ac:dyDescent="0.2">
      <c r="J124" s="244"/>
      <c r="M124" s="251">
        <v>30</v>
      </c>
      <c r="N124" s="251" t="e">
        <f t="shared" si="6"/>
        <v>#VALUE!</v>
      </c>
      <c r="O124" s="244"/>
    </row>
    <row r="125" spans="10:15" x14ac:dyDescent="0.2">
      <c r="J125" s="244"/>
      <c r="M125" s="251">
        <v>31</v>
      </c>
      <c r="N125" s="251" t="e">
        <f t="shared" si="6"/>
        <v>#VALUE!</v>
      </c>
      <c r="O125" s="244"/>
    </row>
    <row r="126" spans="10:15" x14ac:dyDescent="0.2">
      <c r="J126" s="244"/>
      <c r="M126" s="251">
        <v>32</v>
      </c>
      <c r="N126" s="251" t="e">
        <f t="shared" si="6"/>
        <v>#VALUE!</v>
      </c>
      <c r="O126" s="244"/>
    </row>
    <row r="127" spans="10:15" x14ac:dyDescent="0.2">
      <c r="J127" s="244"/>
      <c r="M127" s="251">
        <v>33</v>
      </c>
      <c r="N127" s="251" t="e">
        <f t="shared" si="6"/>
        <v>#VALUE!</v>
      </c>
      <c r="O127" s="244"/>
    </row>
    <row r="128" spans="10:15" x14ac:dyDescent="0.2">
      <c r="J128" s="244"/>
      <c r="M128" s="251">
        <v>34</v>
      </c>
      <c r="N128" s="251" t="e">
        <f t="shared" si="6"/>
        <v>#VALUE!</v>
      </c>
      <c r="O128" s="244"/>
    </row>
    <row r="129" spans="10:15" x14ac:dyDescent="0.2">
      <c r="J129" s="244"/>
      <c r="M129" s="251">
        <v>35</v>
      </c>
      <c r="N129" s="251" t="e">
        <f t="shared" si="6"/>
        <v>#VALUE!</v>
      </c>
      <c r="O129" s="244"/>
    </row>
    <row r="130" spans="10:15" x14ac:dyDescent="0.2">
      <c r="J130" s="244"/>
      <c r="M130" s="251">
        <v>36</v>
      </c>
      <c r="N130" s="251" t="e">
        <f t="shared" si="6"/>
        <v>#VALUE!</v>
      </c>
      <c r="O130" s="244"/>
    </row>
    <row r="131" spans="10:15" x14ac:dyDescent="0.2">
      <c r="J131" s="244"/>
      <c r="M131" s="251">
        <v>37</v>
      </c>
      <c r="N131" s="251" t="e">
        <f t="shared" si="6"/>
        <v>#VALUE!</v>
      </c>
      <c r="O131" s="244"/>
    </row>
    <row r="132" spans="10:15" x14ac:dyDescent="0.2">
      <c r="J132" s="244"/>
      <c r="M132" s="251">
        <v>38</v>
      </c>
      <c r="N132" s="251" t="e">
        <f t="shared" si="6"/>
        <v>#VALUE!</v>
      </c>
      <c r="O132" s="244"/>
    </row>
    <row r="133" spans="10:15" x14ac:dyDescent="0.2">
      <c r="J133" s="244"/>
      <c r="M133" s="251">
        <v>39</v>
      </c>
      <c r="N133" s="251" t="e">
        <f t="shared" si="6"/>
        <v>#VALUE!</v>
      </c>
      <c r="O133" s="244"/>
    </row>
    <row r="134" spans="10:15" x14ac:dyDescent="0.2">
      <c r="J134" s="244"/>
      <c r="M134" s="251">
        <v>40</v>
      </c>
      <c r="N134" s="251" t="e">
        <f t="shared" si="6"/>
        <v>#VALUE!</v>
      </c>
      <c r="O134" s="244"/>
    </row>
    <row r="135" spans="10:15" x14ac:dyDescent="0.2">
      <c r="J135" s="244"/>
      <c r="M135" s="251">
        <v>41</v>
      </c>
      <c r="N135" s="251" t="e">
        <f t="shared" si="6"/>
        <v>#VALUE!</v>
      </c>
      <c r="O135" s="244"/>
    </row>
    <row r="136" spans="10:15" x14ac:dyDescent="0.2">
      <c r="J136" s="244"/>
      <c r="M136" s="251">
        <v>42</v>
      </c>
      <c r="N136" s="251" t="e">
        <f t="shared" si="6"/>
        <v>#VALUE!</v>
      </c>
      <c r="O136" s="244"/>
    </row>
    <row r="137" spans="10:15" x14ac:dyDescent="0.2">
      <c r="J137" s="244"/>
      <c r="M137" s="251">
        <v>43</v>
      </c>
      <c r="N137" s="251" t="e">
        <f t="shared" si="6"/>
        <v>#VALUE!</v>
      </c>
      <c r="O137" s="244"/>
    </row>
    <row r="138" spans="10:15" x14ac:dyDescent="0.2">
      <c r="J138" s="244"/>
      <c r="M138" s="251">
        <v>44</v>
      </c>
      <c r="N138" s="251" t="e">
        <f t="shared" si="6"/>
        <v>#VALUE!</v>
      </c>
      <c r="O138" s="244"/>
    </row>
    <row r="139" spans="10:15" x14ac:dyDescent="0.2">
      <c r="J139" s="244"/>
      <c r="M139" s="251">
        <v>45</v>
      </c>
      <c r="N139" s="251" t="e">
        <f t="shared" ref="N139:N144" si="7">rho_app(M139,$L$75,$L$76,$G$22)</f>
        <v>#VALUE!</v>
      </c>
      <c r="O139" s="244"/>
    </row>
    <row r="140" spans="10:15" x14ac:dyDescent="0.2">
      <c r="J140" s="244"/>
      <c r="M140" s="251">
        <v>46</v>
      </c>
      <c r="N140" s="251" t="e">
        <f t="shared" si="7"/>
        <v>#VALUE!</v>
      </c>
      <c r="O140" s="244"/>
    </row>
    <row r="141" spans="10:15" x14ac:dyDescent="0.2">
      <c r="J141" s="244"/>
      <c r="M141" s="251">
        <v>47</v>
      </c>
      <c r="N141" s="251" t="e">
        <f t="shared" si="7"/>
        <v>#VALUE!</v>
      </c>
      <c r="O141" s="244"/>
    </row>
    <row r="142" spans="10:15" x14ac:dyDescent="0.2">
      <c r="J142" s="244"/>
      <c r="M142" s="251">
        <v>48</v>
      </c>
      <c r="N142" s="251" t="e">
        <f t="shared" si="7"/>
        <v>#VALUE!</v>
      </c>
      <c r="O142" s="244"/>
    </row>
    <row r="143" spans="10:15" x14ac:dyDescent="0.2">
      <c r="J143" s="244"/>
      <c r="M143" s="251">
        <v>49</v>
      </c>
      <c r="N143" s="251" t="e">
        <f t="shared" si="7"/>
        <v>#VALUE!</v>
      </c>
      <c r="O143" s="244"/>
    </row>
    <row r="144" spans="10:15" x14ac:dyDescent="0.2">
      <c r="J144" s="244"/>
      <c r="M144" s="251">
        <v>50</v>
      </c>
      <c r="N144" s="251" t="e">
        <f t="shared" si="7"/>
        <v>#VALUE!</v>
      </c>
      <c r="O144" s="244"/>
    </row>
    <row r="145" spans="9:15" x14ac:dyDescent="0.2">
      <c r="I145" s="244"/>
      <c r="J145" s="244"/>
      <c r="O145" s="244"/>
    </row>
    <row r="146" spans="9:15" x14ac:dyDescent="0.2">
      <c r="I146" s="244"/>
      <c r="J146" s="244"/>
      <c r="O146" s="244"/>
    </row>
    <row r="147" spans="9:15" x14ac:dyDescent="0.2">
      <c r="I147" s="244"/>
      <c r="J147" s="244"/>
      <c r="O147" s="244"/>
    </row>
    <row r="148" spans="9:15" x14ac:dyDescent="0.2">
      <c r="I148" s="244"/>
      <c r="J148" s="244"/>
      <c r="O148" s="244"/>
    </row>
    <row r="149" spans="9:15" x14ac:dyDescent="0.2">
      <c r="I149" s="244"/>
      <c r="J149" s="244"/>
      <c r="O149" s="244"/>
    </row>
    <row r="150" spans="9:15" x14ac:dyDescent="0.2">
      <c r="I150" s="244"/>
      <c r="J150" s="244"/>
      <c r="O150" s="244"/>
    </row>
    <row r="151" spans="9:15" x14ac:dyDescent="0.2">
      <c r="I151" s="244"/>
      <c r="J151" s="244"/>
      <c r="O151" s="244"/>
    </row>
    <row r="152" spans="9:15" x14ac:dyDescent="0.2">
      <c r="I152" s="244"/>
      <c r="J152" s="244"/>
      <c r="O152" s="244"/>
    </row>
    <row r="153" spans="9:15" x14ac:dyDescent="0.2">
      <c r="I153" s="244"/>
      <c r="J153" s="244"/>
      <c r="O153" s="244"/>
    </row>
    <row r="154" spans="9:15" x14ac:dyDescent="0.2">
      <c r="I154" s="244"/>
      <c r="J154" s="244"/>
      <c r="O154" s="244"/>
    </row>
    <row r="155" spans="9:15" x14ac:dyDescent="0.2">
      <c r="I155" s="244"/>
      <c r="J155" s="244"/>
      <c r="O155" s="244"/>
    </row>
    <row r="156" spans="9:15" x14ac:dyDescent="0.2">
      <c r="I156" s="244"/>
      <c r="J156" s="244"/>
      <c r="O156" s="244"/>
    </row>
    <row r="157" spans="9:15" x14ac:dyDescent="0.2">
      <c r="I157" s="244"/>
      <c r="J157" s="244"/>
      <c r="O157" s="244"/>
    </row>
    <row r="158" spans="9:15" x14ac:dyDescent="0.2">
      <c r="I158" s="244"/>
      <c r="J158" s="244"/>
      <c r="O158" s="244"/>
    </row>
    <row r="159" spans="9:15" x14ac:dyDescent="0.2">
      <c r="I159" s="244"/>
      <c r="J159" s="244"/>
      <c r="O159" s="244"/>
    </row>
    <row r="160" spans="9:15" x14ac:dyDescent="0.2">
      <c r="I160" s="244"/>
      <c r="J160" s="244"/>
      <c r="O160" s="244"/>
    </row>
    <row r="161" spans="9:15" x14ac:dyDescent="0.2">
      <c r="I161" s="244"/>
      <c r="J161" s="244"/>
      <c r="O161" s="244"/>
    </row>
    <row r="162" spans="9:15" x14ac:dyDescent="0.2">
      <c r="I162" s="244"/>
      <c r="J162" s="244"/>
      <c r="O162" s="244"/>
    </row>
    <row r="163" spans="9:15" x14ac:dyDescent="0.2">
      <c r="I163" s="244"/>
      <c r="J163" s="244"/>
      <c r="O163" s="244"/>
    </row>
    <row r="164" spans="9:15" x14ac:dyDescent="0.2">
      <c r="I164" s="244"/>
      <c r="J164" s="244"/>
      <c r="O164" s="244"/>
    </row>
    <row r="165" spans="9:15" x14ac:dyDescent="0.2">
      <c r="I165" s="244"/>
      <c r="J165" s="244"/>
      <c r="O165" s="244"/>
    </row>
    <row r="166" spans="9:15" x14ac:dyDescent="0.2">
      <c r="I166" s="244"/>
      <c r="J166" s="244"/>
      <c r="O166" s="244"/>
    </row>
    <row r="167" spans="9:15" x14ac:dyDescent="0.2">
      <c r="I167" s="244"/>
    </row>
    <row r="168" spans="9:15" x14ac:dyDescent="0.2">
      <c r="I168" s="244"/>
    </row>
    <row r="169" spans="9:15" x14ac:dyDescent="0.2">
      <c r="I169" s="244"/>
    </row>
    <row r="170" spans="9:15" x14ac:dyDescent="0.2">
      <c r="I170" s="244"/>
    </row>
    <row r="171" spans="9:15" x14ac:dyDescent="0.2">
      <c r="I171" s="244"/>
    </row>
    <row r="172" spans="9:15" x14ac:dyDescent="0.2">
      <c r="I172" s="244"/>
    </row>
    <row r="173" spans="9:15" x14ac:dyDescent="0.2">
      <c r="I173" s="244"/>
    </row>
    <row r="174" spans="9:15" x14ac:dyDescent="0.2">
      <c r="I174" s="244"/>
    </row>
    <row r="175" spans="9:15" x14ac:dyDescent="0.2">
      <c r="I175" s="244"/>
    </row>
    <row r="176" spans="9:15" x14ac:dyDescent="0.2">
      <c r="I176" s="244"/>
    </row>
    <row r="177" spans="9:15" x14ac:dyDescent="0.2">
      <c r="I177" s="244"/>
    </row>
    <row r="178" spans="9:15" x14ac:dyDescent="0.2">
      <c r="I178" s="244"/>
    </row>
    <row r="179" spans="9:15" x14ac:dyDescent="0.2">
      <c r="I179" s="244"/>
    </row>
    <row r="180" spans="9:15" x14ac:dyDescent="0.2">
      <c r="I180" s="244"/>
      <c r="J180" s="244"/>
      <c r="K180" s="244"/>
      <c r="L180" s="244"/>
      <c r="M180" s="244"/>
      <c r="N180" s="244"/>
      <c r="O180" s="244"/>
    </row>
    <row r="181" spans="9:15" x14ac:dyDescent="0.2">
      <c r="I181" s="244"/>
      <c r="J181" s="244"/>
      <c r="K181" s="244"/>
      <c r="L181" s="244"/>
      <c r="M181" s="244"/>
      <c r="N181" s="244"/>
      <c r="O181" s="244"/>
    </row>
    <row r="182" spans="9:15" x14ac:dyDescent="0.2">
      <c r="I182" s="244"/>
      <c r="J182" s="244"/>
      <c r="K182" s="244"/>
      <c r="L182" s="244"/>
      <c r="M182" s="244"/>
      <c r="N182" s="244"/>
      <c r="O182" s="244"/>
    </row>
    <row r="183" spans="9:15" x14ac:dyDescent="0.2">
      <c r="I183" s="244"/>
      <c r="J183" s="244"/>
      <c r="K183" s="244"/>
      <c r="L183" s="244"/>
      <c r="M183" s="244"/>
      <c r="N183" s="244"/>
      <c r="O183" s="244"/>
    </row>
    <row r="184" spans="9:15" x14ac:dyDescent="0.2">
      <c r="I184" s="244"/>
      <c r="J184" s="244"/>
      <c r="K184" s="244"/>
      <c r="L184" s="244"/>
      <c r="M184" s="244"/>
      <c r="N184" s="244"/>
      <c r="O184" s="244"/>
    </row>
    <row r="185" spans="9:15" x14ac:dyDescent="0.2">
      <c r="I185" s="244"/>
      <c r="J185" s="244"/>
      <c r="K185" s="244"/>
      <c r="L185" s="244"/>
      <c r="M185" s="244"/>
      <c r="N185" s="244"/>
      <c r="O185" s="244"/>
    </row>
    <row r="186" spans="9:15" x14ac:dyDescent="0.2">
      <c r="I186" s="244"/>
      <c r="J186" s="244"/>
      <c r="K186" s="244"/>
      <c r="L186" s="244"/>
      <c r="M186" s="244"/>
      <c r="N186" s="244"/>
      <c r="O186" s="244"/>
    </row>
    <row r="187" spans="9:15" x14ac:dyDescent="0.2">
      <c r="I187" s="244"/>
      <c r="J187" s="244"/>
      <c r="K187" s="244"/>
      <c r="L187" s="244"/>
      <c r="M187" s="244"/>
      <c r="N187" s="244"/>
      <c r="O187" s="244"/>
    </row>
    <row r="188" spans="9:15" x14ac:dyDescent="0.2">
      <c r="I188" s="244"/>
      <c r="J188" s="244"/>
      <c r="K188" s="244"/>
      <c r="L188" s="244"/>
      <c r="M188" s="244"/>
      <c r="N188" s="244"/>
      <c r="O188" s="244"/>
    </row>
    <row r="189" spans="9:15" x14ac:dyDescent="0.2">
      <c r="I189" s="244"/>
      <c r="J189" s="244"/>
      <c r="K189" s="244"/>
      <c r="L189" s="244"/>
      <c r="M189" s="244"/>
      <c r="N189" s="244"/>
      <c r="O189" s="244"/>
    </row>
    <row r="190" spans="9:15" x14ac:dyDescent="0.2">
      <c r="I190" s="244"/>
      <c r="J190" s="244"/>
      <c r="K190" s="244"/>
      <c r="L190" s="244"/>
      <c r="M190" s="244"/>
      <c r="N190" s="244"/>
      <c r="O190" s="244"/>
    </row>
    <row r="191" spans="9:15" x14ac:dyDescent="0.2">
      <c r="I191" s="244"/>
      <c r="J191" s="244"/>
      <c r="K191" s="244"/>
      <c r="L191" s="244"/>
      <c r="M191" s="244"/>
      <c r="N191" s="244"/>
      <c r="O191" s="244"/>
    </row>
    <row r="192" spans="9:15" x14ac:dyDescent="0.2">
      <c r="I192" s="244"/>
      <c r="J192" s="244"/>
      <c r="K192" s="244"/>
      <c r="L192" s="244"/>
      <c r="M192" s="244"/>
      <c r="N192" s="244"/>
      <c r="O192" s="244"/>
    </row>
    <row r="193" spans="9:15" x14ac:dyDescent="0.2">
      <c r="I193" s="244"/>
      <c r="J193" s="244"/>
      <c r="K193" s="244"/>
      <c r="L193" s="244"/>
      <c r="M193" s="244"/>
      <c r="N193" s="244"/>
      <c r="O193" s="244"/>
    </row>
    <row r="194" spans="9:15" x14ac:dyDescent="0.2">
      <c r="I194" s="244"/>
      <c r="J194" s="244"/>
      <c r="K194" s="244"/>
      <c r="L194" s="244"/>
      <c r="M194" s="244"/>
      <c r="N194" s="244"/>
      <c r="O194" s="244"/>
    </row>
    <row r="195" spans="9:15" x14ac:dyDescent="0.2">
      <c r="I195" s="244"/>
      <c r="J195" s="244"/>
      <c r="K195" s="244"/>
      <c r="L195" s="244"/>
      <c r="M195" s="244"/>
      <c r="N195" s="244"/>
      <c r="O195" s="244"/>
    </row>
    <row r="196" spans="9:15" x14ac:dyDescent="0.2">
      <c r="I196" s="244"/>
      <c r="J196" s="244"/>
      <c r="K196" s="244"/>
      <c r="L196" s="244"/>
      <c r="M196" s="244"/>
      <c r="N196" s="244"/>
      <c r="O196" s="244"/>
    </row>
    <row r="197" spans="9:15" x14ac:dyDescent="0.2">
      <c r="I197" s="244"/>
      <c r="J197" s="244"/>
      <c r="K197" s="244"/>
      <c r="L197" s="244"/>
      <c r="M197" s="244"/>
      <c r="N197" s="244"/>
      <c r="O197" s="244"/>
    </row>
    <row r="198" spans="9:15" x14ac:dyDescent="0.2">
      <c r="I198" s="244"/>
      <c r="J198" s="244"/>
      <c r="K198" s="244"/>
      <c r="L198" s="244"/>
      <c r="M198" s="244"/>
      <c r="N198" s="244"/>
      <c r="O198" s="244"/>
    </row>
    <row r="199" spans="9:15" x14ac:dyDescent="0.2">
      <c r="I199" s="244"/>
      <c r="J199" s="244"/>
      <c r="K199" s="244"/>
      <c r="L199" s="244"/>
      <c r="M199" s="244"/>
      <c r="N199" s="244"/>
      <c r="O199" s="244"/>
    </row>
    <row r="200" spans="9:15" x14ac:dyDescent="0.2">
      <c r="I200" s="244"/>
      <c r="J200" s="244"/>
      <c r="K200" s="244"/>
      <c r="L200" s="244"/>
      <c r="M200" s="244"/>
      <c r="N200" s="244"/>
      <c r="O200" s="244"/>
    </row>
    <row r="201" spans="9:15" x14ac:dyDescent="0.2">
      <c r="I201" s="244"/>
      <c r="J201" s="244"/>
      <c r="K201" s="244"/>
      <c r="L201" s="244"/>
      <c r="M201" s="244"/>
      <c r="N201" s="244"/>
      <c r="O201" s="244"/>
    </row>
    <row r="202" spans="9:15" x14ac:dyDescent="0.2">
      <c r="I202" s="244"/>
      <c r="J202" s="244"/>
      <c r="K202" s="244"/>
      <c r="L202" s="244"/>
      <c r="M202" s="244"/>
      <c r="N202" s="244"/>
      <c r="O202" s="244"/>
    </row>
    <row r="203" spans="9:15" x14ac:dyDescent="0.2">
      <c r="I203" s="244"/>
      <c r="J203" s="244"/>
      <c r="K203" s="244"/>
      <c r="L203" s="244"/>
      <c r="M203" s="244"/>
      <c r="N203" s="244"/>
      <c r="O203" s="244"/>
    </row>
    <row r="204" spans="9:15" x14ac:dyDescent="0.2">
      <c r="I204" s="244"/>
      <c r="J204" s="244"/>
      <c r="K204" s="244"/>
      <c r="L204" s="244"/>
      <c r="M204" s="244"/>
      <c r="N204" s="244"/>
      <c r="O204" s="244"/>
    </row>
    <row r="205" spans="9:15" x14ac:dyDescent="0.2">
      <c r="I205" s="244"/>
      <c r="J205" s="244"/>
      <c r="K205" s="244"/>
      <c r="L205" s="244"/>
      <c r="M205" s="244"/>
      <c r="N205" s="244"/>
      <c r="O205" s="244"/>
    </row>
    <row r="206" spans="9:15" x14ac:dyDescent="0.2">
      <c r="I206" s="244"/>
      <c r="J206" s="244"/>
      <c r="K206" s="244"/>
      <c r="L206" s="244"/>
      <c r="M206" s="244"/>
      <c r="N206" s="244"/>
      <c r="O206" s="244"/>
    </row>
    <row r="207" spans="9:15" x14ac:dyDescent="0.2">
      <c r="I207" s="244"/>
      <c r="J207" s="244"/>
      <c r="K207" s="244"/>
      <c r="L207" s="244"/>
      <c r="M207" s="244"/>
      <c r="N207" s="244"/>
      <c r="O207" s="244"/>
    </row>
    <row r="208" spans="9:15" x14ac:dyDescent="0.2">
      <c r="I208" s="244"/>
      <c r="J208" s="244"/>
      <c r="K208" s="244"/>
      <c r="L208" s="244"/>
      <c r="M208" s="244"/>
      <c r="N208" s="244"/>
      <c r="O208" s="244"/>
    </row>
    <row r="209" spans="9:15" x14ac:dyDescent="0.2">
      <c r="I209" s="244"/>
      <c r="J209" s="244"/>
      <c r="K209" s="244"/>
      <c r="L209" s="244"/>
      <c r="M209" s="244"/>
      <c r="N209" s="244"/>
      <c r="O209" s="244"/>
    </row>
    <row r="210" spans="9:15" x14ac:dyDescent="0.2">
      <c r="I210" s="244"/>
      <c r="J210" s="244"/>
      <c r="K210" s="244"/>
      <c r="L210" s="244"/>
      <c r="M210" s="244"/>
      <c r="N210" s="244"/>
      <c r="O210" s="244"/>
    </row>
    <row r="211" spans="9:15" x14ac:dyDescent="0.2">
      <c r="I211" s="244"/>
      <c r="J211" s="244"/>
      <c r="K211" s="244"/>
      <c r="L211" s="244"/>
      <c r="M211" s="244"/>
      <c r="N211" s="244"/>
      <c r="O211" s="244"/>
    </row>
    <row r="212" spans="9:15" x14ac:dyDescent="0.2">
      <c r="I212" s="244"/>
      <c r="J212" s="244"/>
      <c r="K212" s="244"/>
      <c r="L212" s="244"/>
      <c r="M212" s="244"/>
      <c r="N212" s="244"/>
      <c r="O212" s="244"/>
    </row>
    <row r="213" spans="9:15" x14ac:dyDescent="0.2">
      <c r="I213" s="244"/>
      <c r="J213" s="244"/>
      <c r="K213" s="244"/>
      <c r="L213" s="244"/>
      <c r="M213" s="244"/>
      <c r="N213" s="244"/>
      <c r="O213" s="244"/>
    </row>
    <row r="214" spans="9:15" x14ac:dyDescent="0.2">
      <c r="I214" s="244"/>
      <c r="J214" s="244"/>
      <c r="K214" s="244"/>
      <c r="L214" s="244"/>
      <c r="M214" s="244"/>
      <c r="N214" s="244"/>
      <c r="O214" s="244"/>
    </row>
    <row r="215" spans="9:15" x14ac:dyDescent="0.2">
      <c r="I215" s="244"/>
      <c r="J215" s="244"/>
      <c r="K215" s="244"/>
      <c r="L215" s="244"/>
      <c r="M215" s="244"/>
      <c r="N215" s="244"/>
      <c r="O215" s="244"/>
    </row>
    <row r="216" spans="9:15" x14ac:dyDescent="0.2">
      <c r="I216" s="244"/>
      <c r="J216" s="244"/>
      <c r="K216" s="244"/>
      <c r="L216" s="244"/>
      <c r="M216" s="244"/>
      <c r="N216" s="244"/>
      <c r="O216" s="244"/>
    </row>
    <row r="217" spans="9:15" x14ac:dyDescent="0.2">
      <c r="I217" s="244"/>
      <c r="J217" s="244"/>
      <c r="K217" s="244"/>
      <c r="L217" s="244"/>
      <c r="M217" s="244"/>
      <c r="N217" s="244"/>
      <c r="O217" s="244"/>
    </row>
    <row r="218" spans="9:15" x14ac:dyDescent="0.2">
      <c r="I218" s="244"/>
      <c r="J218" s="244"/>
      <c r="K218" s="244"/>
      <c r="L218" s="244"/>
      <c r="M218" s="244"/>
      <c r="N218" s="244"/>
      <c r="O218" s="244"/>
    </row>
    <row r="219" spans="9:15" x14ac:dyDescent="0.2">
      <c r="I219" s="244"/>
      <c r="J219" s="244"/>
      <c r="K219" s="244"/>
      <c r="L219" s="244"/>
      <c r="M219" s="244"/>
      <c r="N219" s="244"/>
      <c r="O219" s="244"/>
    </row>
    <row r="220" spans="9:15" x14ac:dyDescent="0.2">
      <c r="I220" s="244"/>
      <c r="J220" s="244"/>
      <c r="K220" s="244"/>
      <c r="L220" s="244"/>
      <c r="M220" s="244"/>
      <c r="N220" s="244"/>
      <c r="O220" s="244"/>
    </row>
    <row r="221" spans="9:15" x14ac:dyDescent="0.2">
      <c r="I221" s="244"/>
      <c r="J221" s="244"/>
      <c r="K221" s="244"/>
      <c r="L221" s="244"/>
      <c r="M221" s="244"/>
      <c r="N221" s="244"/>
      <c r="O221" s="244"/>
    </row>
    <row r="222" spans="9:15" x14ac:dyDescent="0.2">
      <c r="I222" s="244"/>
      <c r="J222" s="244"/>
      <c r="K222" s="244"/>
      <c r="L222" s="244"/>
      <c r="M222" s="244"/>
      <c r="N222" s="244"/>
      <c r="O222" s="244"/>
    </row>
    <row r="223" spans="9:15" x14ac:dyDescent="0.2">
      <c r="I223" s="244"/>
      <c r="J223" s="244"/>
      <c r="K223" s="244"/>
      <c r="L223" s="244"/>
      <c r="M223" s="244"/>
      <c r="N223" s="244"/>
      <c r="O223" s="244"/>
    </row>
    <row r="224" spans="9:15" x14ac:dyDescent="0.2">
      <c r="I224" s="244"/>
      <c r="J224" s="244"/>
      <c r="K224" s="244"/>
      <c r="L224" s="244"/>
      <c r="M224" s="244"/>
      <c r="N224" s="244"/>
      <c r="O224" s="244"/>
    </row>
    <row r="225" spans="9:15" x14ac:dyDescent="0.2">
      <c r="I225" s="244"/>
      <c r="J225" s="244"/>
      <c r="K225" s="244"/>
      <c r="L225" s="244"/>
      <c r="M225" s="244"/>
      <c r="N225" s="244"/>
      <c r="O225" s="244"/>
    </row>
    <row r="226" spans="9:15" x14ac:dyDescent="0.2">
      <c r="I226" s="244"/>
      <c r="J226" s="244"/>
      <c r="K226" s="244"/>
      <c r="L226" s="244"/>
      <c r="M226" s="244"/>
      <c r="N226" s="244"/>
      <c r="O226" s="244"/>
    </row>
    <row r="227" spans="9:15" x14ac:dyDescent="0.2">
      <c r="I227" s="244"/>
      <c r="J227" s="244"/>
      <c r="K227" s="244"/>
      <c r="L227" s="244"/>
      <c r="M227" s="244"/>
      <c r="N227" s="244"/>
      <c r="O227" s="244"/>
    </row>
    <row r="228" spans="9:15" x14ac:dyDescent="0.2">
      <c r="I228" s="244"/>
      <c r="J228" s="244"/>
      <c r="K228" s="244"/>
      <c r="L228" s="244"/>
      <c r="M228" s="244"/>
      <c r="N228" s="244"/>
      <c r="O228" s="244"/>
    </row>
    <row r="229" spans="9:15" x14ac:dyDescent="0.2">
      <c r="I229" s="244"/>
      <c r="J229" s="244"/>
      <c r="K229" s="244"/>
      <c r="L229" s="244"/>
      <c r="M229" s="244"/>
      <c r="N229" s="244"/>
      <c r="O229" s="244"/>
    </row>
    <row r="230" spans="9:15" x14ac:dyDescent="0.2">
      <c r="I230" s="244"/>
      <c r="J230" s="244"/>
      <c r="K230" s="244"/>
      <c r="L230" s="244"/>
      <c r="M230" s="244"/>
      <c r="N230" s="244"/>
      <c r="O230" s="244"/>
    </row>
    <row r="231" spans="9:15" x14ac:dyDescent="0.2">
      <c r="I231" s="244"/>
      <c r="J231" s="244"/>
      <c r="K231" s="244"/>
      <c r="L231" s="244"/>
      <c r="M231" s="244"/>
      <c r="N231" s="244"/>
      <c r="O231" s="244"/>
    </row>
    <row r="232" spans="9:15" x14ac:dyDescent="0.2">
      <c r="I232" s="244"/>
      <c r="J232" s="244"/>
      <c r="K232" s="244"/>
      <c r="L232" s="244"/>
      <c r="M232" s="244"/>
      <c r="N232" s="244"/>
      <c r="O232" s="244"/>
    </row>
    <row r="233" spans="9:15" x14ac:dyDescent="0.2">
      <c r="I233" s="244"/>
      <c r="J233" s="244"/>
      <c r="K233" s="244"/>
      <c r="L233" s="244"/>
      <c r="M233" s="244"/>
      <c r="N233" s="244"/>
      <c r="O233" s="244"/>
    </row>
    <row r="234" spans="9:15" x14ac:dyDescent="0.2">
      <c r="I234" s="244"/>
      <c r="J234" s="244"/>
      <c r="K234" s="244"/>
      <c r="L234" s="244"/>
      <c r="M234" s="244"/>
      <c r="N234" s="244"/>
      <c r="O234" s="244"/>
    </row>
    <row r="235" spans="9:15" x14ac:dyDescent="0.2">
      <c r="I235" s="244"/>
      <c r="J235" s="244"/>
      <c r="K235" s="244"/>
      <c r="L235" s="244"/>
      <c r="M235" s="244"/>
      <c r="N235" s="244"/>
      <c r="O235" s="244"/>
    </row>
    <row r="236" spans="9:15" x14ac:dyDescent="0.2">
      <c r="I236" s="244"/>
      <c r="J236" s="244"/>
      <c r="K236" s="244"/>
      <c r="L236" s="244"/>
      <c r="M236" s="244"/>
      <c r="N236" s="244"/>
      <c r="O236" s="244"/>
    </row>
    <row r="237" spans="9:15" x14ac:dyDescent="0.2">
      <c r="I237" s="244"/>
      <c r="J237" s="244"/>
      <c r="K237" s="244"/>
      <c r="L237" s="244"/>
      <c r="M237" s="244"/>
      <c r="N237" s="244"/>
      <c r="O237" s="244"/>
    </row>
    <row r="238" spans="9:15" x14ac:dyDescent="0.2">
      <c r="I238" s="244"/>
      <c r="J238" s="244"/>
      <c r="K238" s="244"/>
      <c r="L238" s="244"/>
      <c r="M238" s="244"/>
      <c r="N238" s="244"/>
      <c r="O238" s="244"/>
    </row>
    <row r="239" spans="9:15" x14ac:dyDescent="0.2">
      <c r="I239" s="244"/>
      <c r="J239" s="244"/>
      <c r="K239" s="244"/>
      <c r="L239" s="244"/>
      <c r="M239" s="244"/>
      <c r="N239" s="244"/>
      <c r="O239" s="244"/>
    </row>
    <row r="240" spans="9:15" x14ac:dyDescent="0.2">
      <c r="I240" s="244"/>
      <c r="J240" s="244"/>
      <c r="K240" s="244"/>
      <c r="L240" s="244"/>
      <c r="M240" s="244"/>
      <c r="N240" s="244"/>
      <c r="O240" s="244"/>
    </row>
    <row r="241" spans="9:15" x14ac:dyDescent="0.2">
      <c r="I241" s="244"/>
      <c r="J241" s="244"/>
      <c r="K241" s="244"/>
      <c r="L241" s="244"/>
      <c r="M241" s="244"/>
      <c r="N241" s="244"/>
      <c r="O241" s="244"/>
    </row>
    <row r="242" spans="9:15" x14ac:dyDescent="0.2">
      <c r="I242" s="244"/>
      <c r="J242" s="244"/>
      <c r="K242" s="244"/>
      <c r="L242" s="244"/>
      <c r="M242" s="244"/>
      <c r="N242" s="244"/>
      <c r="O242" s="244"/>
    </row>
    <row r="243" spans="9:15" x14ac:dyDescent="0.2">
      <c r="I243" s="244"/>
      <c r="J243" s="244"/>
      <c r="K243" s="244"/>
      <c r="L243" s="244"/>
      <c r="M243" s="244"/>
      <c r="N243" s="244"/>
      <c r="O243" s="244"/>
    </row>
    <row r="244" spans="9:15" x14ac:dyDescent="0.2">
      <c r="I244" s="244"/>
      <c r="J244" s="244"/>
      <c r="K244" s="244"/>
      <c r="L244" s="244"/>
      <c r="M244" s="244"/>
      <c r="N244" s="244"/>
      <c r="O244" s="244"/>
    </row>
    <row r="245" spans="9:15" x14ac:dyDescent="0.2">
      <c r="I245" s="244"/>
      <c r="J245" s="244"/>
      <c r="K245" s="244"/>
      <c r="L245" s="244"/>
      <c r="M245" s="244"/>
      <c r="N245" s="244"/>
      <c r="O245" s="244"/>
    </row>
    <row r="246" spans="9:15" x14ac:dyDescent="0.2">
      <c r="I246" s="244"/>
      <c r="J246" s="244"/>
      <c r="K246" s="244"/>
      <c r="L246" s="244"/>
      <c r="M246" s="244"/>
      <c r="N246" s="244"/>
      <c r="O246" s="244"/>
    </row>
    <row r="247" spans="9:15" x14ac:dyDescent="0.2">
      <c r="I247" s="244"/>
      <c r="J247" s="244"/>
      <c r="K247" s="244"/>
      <c r="L247" s="244"/>
      <c r="M247" s="244"/>
      <c r="N247" s="244"/>
      <c r="O247" s="244"/>
    </row>
    <row r="248" spans="9:15" x14ac:dyDescent="0.2">
      <c r="I248" s="244"/>
      <c r="J248" s="244"/>
      <c r="K248" s="244"/>
      <c r="L248" s="244"/>
      <c r="M248" s="244"/>
      <c r="N248" s="244"/>
      <c r="O248" s="244"/>
    </row>
    <row r="249" spans="9:15" x14ac:dyDescent="0.2">
      <c r="I249" s="244"/>
      <c r="J249" s="244"/>
      <c r="K249" s="244"/>
      <c r="L249" s="244"/>
      <c r="M249" s="244"/>
      <c r="N249" s="244"/>
      <c r="O249" s="244"/>
    </row>
    <row r="250" spans="9:15" x14ac:dyDescent="0.2">
      <c r="I250" s="244"/>
      <c r="J250" s="244"/>
      <c r="K250" s="244"/>
      <c r="L250" s="244"/>
      <c r="M250" s="244"/>
      <c r="N250" s="244"/>
      <c r="O250" s="244"/>
    </row>
    <row r="251" spans="9:15" x14ac:dyDescent="0.2">
      <c r="I251" s="244"/>
      <c r="J251" s="244"/>
      <c r="K251" s="244"/>
      <c r="L251" s="244"/>
      <c r="M251" s="244"/>
      <c r="N251" s="244"/>
      <c r="O251" s="244"/>
    </row>
    <row r="252" spans="9:15" x14ac:dyDescent="0.2">
      <c r="I252" s="244"/>
      <c r="J252" s="244"/>
      <c r="K252" s="244"/>
      <c r="L252" s="244"/>
      <c r="M252" s="244"/>
      <c r="N252" s="244"/>
      <c r="O252" s="244"/>
    </row>
    <row r="253" spans="9:15" x14ac:dyDescent="0.2">
      <c r="I253" s="244"/>
      <c r="J253" s="244"/>
      <c r="K253" s="244"/>
      <c r="L253" s="244"/>
      <c r="M253" s="244"/>
      <c r="N253" s="244"/>
      <c r="O253" s="244"/>
    </row>
    <row r="254" spans="9:15" x14ac:dyDescent="0.2">
      <c r="I254" s="244"/>
      <c r="J254" s="244"/>
      <c r="K254" s="244"/>
      <c r="L254" s="244"/>
      <c r="M254" s="244"/>
      <c r="N254" s="244"/>
      <c r="O254" s="244"/>
    </row>
    <row r="255" spans="9:15" x14ac:dyDescent="0.2">
      <c r="I255" s="244"/>
      <c r="J255" s="244"/>
      <c r="K255" s="244"/>
      <c r="L255" s="244"/>
      <c r="M255" s="244"/>
      <c r="N255" s="244"/>
      <c r="O255" s="244"/>
    </row>
    <row r="256" spans="9:15" x14ac:dyDescent="0.2">
      <c r="I256" s="244"/>
      <c r="J256" s="244"/>
      <c r="K256" s="244"/>
      <c r="L256" s="244"/>
      <c r="M256" s="244"/>
      <c r="N256" s="244"/>
      <c r="O256" s="244"/>
    </row>
    <row r="257" spans="9:15" x14ac:dyDescent="0.2">
      <c r="I257" s="244"/>
      <c r="J257" s="244"/>
      <c r="K257" s="244"/>
      <c r="L257" s="244"/>
      <c r="M257" s="244"/>
      <c r="N257" s="244"/>
      <c r="O257" s="244"/>
    </row>
    <row r="258" spans="9:15" x14ac:dyDescent="0.2">
      <c r="I258" s="244"/>
      <c r="J258" s="244"/>
      <c r="K258" s="244"/>
      <c r="L258" s="244"/>
      <c r="M258" s="244"/>
      <c r="N258" s="244"/>
      <c r="O258" s="244"/>
    </row>
    <row r="259" spans="9:15" x14ac:dyDescent="0.2">
      <c r="I259" s="244"/>
      <c r="J259" s="244"/>
      <c r="K259" s="244"/>
      <c r="L259" s="244"/>
      <c r="M259" s="244"/>
      <c r="N259" s="244"/>
      <c r="O259" s="244"/>
    </row>
    <row r="260" spans="9:15" x14ac:dyDescent="0.2">
      <c r="I260" s="244"/>
      <c r="J260" s="244"/>
      <c r="K260" s="244"/>
      <c r="L260" s="244"/>
      <c r="M260" s="244"/>
      <c r="N260" s="244"/>
      <c r="O260" s="244"/>
    </row>
    <row r="261" spans="9:15" x14ac:dyDescent="0.2">
      <c r="I261" s="244"/>
      <c r="J261" s="244"/>
      <c r="K261" s="244"/>
      <c r="L261" s="244"/>
      <c r="M261" s="244"/>
      <c r="N261" s="244"/>
      <c r="O261" s="244"/>
    </row>
    <row r="262" spans="9:15" x14ac:dyDescent="0.2">
      <c r="I262" s="244"/>
      <c r="J262" s="244"/>
      <c r="K262" s="244"/>
      <c r="L262" s="244"/>
      <c r="M262" s="244"/>
      <c r="N262" s="244"/>
      <c r="O262" s="244"/>
    </row>
    <row r="263" spans="9:15" x14ac:dyDescent="0.2">
      <c r="I263" s="244"/>
      <c r="J263" s="244"/>
      <c r="K263" s="244"/>
      <c r="L263" s="244"/>
      <c r="M263" s="244"/>
      <c r="N263" s="244"/>
      <c r="O263" s="244"/>
    </row>
    <row r="264" spans="9:15" x14ac:dyDescent="0.2">
      <c r="I264" s="244"/>
      <c r="J264" s="244"/>
      <c r="K264" s="244"/>
      <c r="L264" s="244"/>
      <c r="M264" s="244"/>
      <c r="N264" s="244"/>
      <c r="O264" s="244"/>
    </row>
    <row r="265" spans="9:15" x14ac:dyDescent="0.2">
      <c r="I265" s="244"/>
      <c r="J265" s="244"/>
      <c r="K265" s="244"/>
      <c r="L265" s="244"/>
      <c r="M265" s="244"/>
      <c r="N265" s="244"/>
      <c r="O265" s="244"/>
    </row>
    <row r="266" spans="9:15" x14ac:dyDescent="0.2">
      <c r="I266" s="244"/>
      <c r="J266" s="244"/>
      <c r="K266" s="244"/>
      <c r="L266" s="244"/>
      <c r="M266" s="244"/>
      <c r="N266" s="244"/>
      <c r="O266" s="244"/>
    </row>
    <row r="267" spans="9:15" x14ac:dyDescent="0.2">
      <c r="I267" s="244"/>
      <c r="J267" s="244"/>
      <c r="K267" s="244"/>
      <c r="L267" s="244"/>
      <c r="M267" s="244"/>
      <c r="N267" s="244"/>
      <c r="O267" s="244"/>
    </row>
    <row r="268" spans="9:15" x14ac:dyDescent="0.2">
      <c r="I268" s="244"/>
      <c r="J268" s="244"/>
      <c r="K268" s="244"/>
      <c r="L268" s="244"/>
      <c r="M268" s="244"/>
      <c r="N268" s="244"/>
      <c r="O268" s="244"/>
    </row>
    <row r="269" spans="9:15" x14ac:dyDescent="0.2">
      <c r="I269" s="244"/>
      <c r="J269" s="244"/>
      <c r="K269" s="244"/>
      <c r="L269" s="244"/>
      <c r="M269" s="244"/>
      <c r="N269" s="244"/>
      <c r="O269" s="244"/>
    </row>
    <row r="270" spans="9:15" x14ac:dyDescent="0.2">
      <c r="I270" s="244"/>
      <c r="J270" s="244"/>
      <c r="K270" s="244"/>
      <c r="L270" s="244"/>
      <c r="M270" s="244"/>
      <c r="N270" s="244"/>
      <c r="O270" s="244"/>
    </row>
    <row r="271" spans="9:15" x14ac:dyDescent="0.2">
      <c r="I271" s="244"/>
      <c r="J271" s="244"/>
      <c r="K271" s="244"/>
      <c r="L271" s="244"/>
      <c r="M271" s="244"/>
      <c r="N271" s="244"/>
      <c r="O271" s="244"/>
    </row>
    <row r="272" spans="9:15" x14ac:dyDescent="0.2">
      <c r="I272" s="244"/>
      <c r="J272" s="244"/>
      <c r="K272" s="244"/>
      <c r="L272" s="244"/>
      <c r="M272" s="244"/>
      <c r="N272" s="244"/>
      <c r="O272" s="244"/>
    </row>
    <row r="273" spans="9:15" x14ac:dyDescent="0.2">
      <c r="I273" s="244"/>
      <c r="J273" s="244"/>
      <c r="K273" s="244"/>
      <c r="L273" s="244"/>
      <c r="M273" s="244"/>
      <c r="N273" s="244"/>
      <c r="O273" s="244"/>
    </row>
  </sheetData>
  <sheetProtection password="C52D" sheet="1" objects="1" scenarios="1"/>
  <protectedRanges>
    <protectedRange sqref="B5:F5 C11:E11 B8:F8 D12:E14 C12:C18" name="Range1"/>
  </protectedRanges>
  <scenarios current="0">
    <scenario name="Soil Res" count="3" user="Terry Niemeier" comment="Created by Terry Niemeier on 11/22/2012">
      <inputCells r="F22" val="209.61421117114"/>
      <inputCells r="F23" val="0"/>
      <inputCells r="L79" val="74.6952114241527"/>
    </scenario>
  </scenarios>
  <mergeCells count="5">
    <mergeCell ref="C3:D3"/>
    <mergeCell ref="E20:G20"/>
    <mergeCell ref="B2:F2"/>
    <mergeCell ref="C4:D4"/>
    <mergeCell ref="E5:F5"/>
  </mergeCells>
  <conditionalFormatting sqref="C21:C28">
    <cfRule type="expression" dxfId="2" priority="3" stopIfTrue="1">
      <formula>ISNA(C21)</formula>
    </cfRule>
  </conditionalFormatting>
  <conditionalFormatting sqref="B21:B28">
    <cfRule type="expression" dxfId="1" priority="2" stopIfTrue="1">
      <formula>ISNA(B21)</formula>
    </cfRule>
  </conditionalFormatting>
  <conditionalFormatting sqref="B4">
    <cfRule type="expression" dxfId="0" priority="1" stopIfTrue="1">
      <formula>ISNA(B4)</formula>
    </cfRule>
  </conditionalFormatting>
  <dataValidations xWindow="682" yWindow="391" count="5">
    <dataValidation type="list" allowBlank="1" showInputMessage="1" showErrorMessage="1" sqref="D8">
      <formula1>"Dry,Damp,Wet"</formula1>
    </dataValidation>
    <dataValidation type="list" allowBlank="1" showInputMessage="1" showErrorMessage="1" sqref="C8">
      <formula1>"Clay, Shale, Sandstone, Sandy, Ironstone"</formula1>
    </dataValidation>
    <dataValidation allowBlank="1" showErrorMessage="1" sqref="B5"/>
    <dataValidation type="decimal" allowBlank="1" showInputMessage="1" showErrorMessage="1" error="Please enter correct decimal degrees latitude" prompt="Please enter in decimal degrees _x000a_e.g -33.123412" sqref="C5">
      <formula1>-36</formula1>
      <formula2>-31.5</formula2>
    </dataValidation>
    <dataValidation type="decimal" allowBlank="1" showInputMessage="1" showErrorMessage="1" error="Please enter correct decimal degrees longitude  " prompt="Please enter in decimal degrees_x000a__x000a_e.g 150.164344" sqref="E5:F5">
      <formula1>148</formula1>
      <formula2>152</formula2>
    </dataValidation>
  </dataValidations>
  <pageMargins left="0.7" right="0.7" top="0.75" bottom="0.75" header="0.3" footer="0.3"/>
  <pageSetup paperSize="9" scale="55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3512" r:id="rId4" name="Button 24">
              <controlPr defaultSize="0" print="0" autoFill="0" autoPict="0" macro="[0]!Solver2">
                <anchor moveWithCells="1" sizeWithCells="1">
                  <from>
                    <xdr:col>4</xdr:col>
                    <xdr:colOff>0</xdr:colOff>
                    <xdr:row>24</xdr:row>
                    <xdr:rowOff>95250</xdr:rowOff>
                  </from>
                  <to>
                    <xdr:col>7</xdr:col>
                    <xdr:colOff>9525</xdr:colOff>
                    <xdr:row>26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14" r:id="rId5" name="Button 26">
              <controlPr defaultSize="0" print="0" autoFill="0" autoPict="0" macro="[0]!StoreGPS">
                <anchor moveWithCells="1" sizeWithCells="1">
                  <from>
                    <xdr:col>6</xdr:col>
                    <xdr:colOff>133350</xdr:colOff>
                    <xdr:row>2</xdr:row>
                    <xdr:rowOff>9525</xdr:rowOff>
                  </from>
                  <to>
                    <xdr:col>7</xdr:col>
                    <xdr:colOff>657225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3515" r:id="rId6" name="Button 27">
              <controlPr defaultSize="0" print="0" autoFill="0" autoPict="0" macro="[0]!ViewGPS">
                <anchor moveWithCells="1" sizeWithCells="1">
                  <from>
                    <xdr:col>6</xdr:col>
                    <xdr:colOff>133350</xdr:colOff>
                    <xdr:row>9</xdr:row>
                    <xdr:rowOff>9525</xdr:rowOff>
                  </from>
                  <to>
                    <xdr:col>7</xdr:col>
                    <xdr:colOff>657225</xdr:colOff>
                    <xdr:row>15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58"/>
  <sheetViews>
    <sheetView zoomScale="85" zoomScaleNormal="85" workbookViewId="0"/>
  </sheetViews>
  <sheetFormatPr defaultColWidth="9.140625" defaultRowHeight="12.75" x14ac:dyDescent="0.2"/>
  <cols>
    <col min="1" max="1" width="23.28515625" style="35" bestFit="1" customWidth="1"/>
    <col min="2" max="2" width="14.28515625" style="35" bestFit="1" customWidth="1"/>
    <col min="3" max="3" width="14.5703125" style="35" bestFit="1" customWidth="1"/>
    <col min="4" max="4" width="9.7109375" style="35" customWidth="1"/>
    <col min="5" max="5" width="9.140625" style="35"/>
    <col min="6" max="6" width="15.140625" style="35" customWidth="1"/>
    <col min="7" max="16384" width="9.140625" style="35"/>
  </cols>
  <sheetData>
    <row r="1" spans="1:10" x14ac:dyDescent="0.2">
      <c r="A1" s="145"/>
      <c r="B1" s="146" t="s">
        <v>344</v>
      </c>
      <c r="C1" s="146" t="s">
        <v>345</v>
      </c>
    </row>
    <row r="2" spans="1:10" x14ac:dyDescent="0.2">
      <c r="A2" s="146" t="s">
        <v>150</v>
      </c>
      <c r="B2" s="147" t="e">
        <f>IF(ef_settings_used="Default",G25,IF(ef_settings_used="Dropout fuse",IF(AND(fuse(If_min,fuse_rating)="Inf",If_min&gt;2*SEF_User),10,fuse(If_min,fuse_rating)),B12))</f>
        <v>#VALUE!</v>
      </c>
      <c r="C2" s="145" t="e">
        <f>IF(ef_settings_used = "Default", J25,IF(ef_settings_used="Dropout fuse",IF(AND(fuse(Ifmax_total,fuse_rating)="Inf",Ifmax_total&gt;2*SEF_User),10,fuse(Ifmax_total,fuse_rating)),C12))</f>
        <v>#VALUE!</v>
      </c>
      <c r="E2" s="96"/>
    </row>
    <row r="3" spans="1:10" x14ac:dyDescent="0.2">
      <c r="E3" s="96"/>
    </row>
    <row r="5" spans="1:10" ht="20.25" thickBot="1" x14ac:dyDescent="0.35">
      <c r="A5" s="148" t="s">
        <v>128</v>
      </c>
      <c r="C5" s="148" t="s">
        <v>465</v>
      </c>
    </row>
    <row r="6" spans="1:10" ht="15.75" thickTop="1" x14ac:dyDescent="0.25">
      <c r="A6" s="149" t="s">
        <v>129</v>
      </c>
      <c r="B6" s="150">
        <f>IF(ISBLANK(EF_pickup),"",EF_pickup)</f>
        <v>240</v>
      </c>
      <c r="C6" s="149" t="str">
        <f>EF_curve</f>
        <v>IEC SI</v>
      </c>
    </row>
    <row r="7" spans="1:10" ht="15" x14ac:dyDescent="0.25">
      <c r="A7" s="149" t="s">
        <v>130</v>
      </c>
      <c r="B7" s="150">
        <f>IF(ISBLANK(EF_TL),"",EF_TL)</f>
        <v>0.13</v>
      </c>
    </row>
    <row r="8" spans="1:10" ht="15" x14ac:dyDescent="0.25">
      <c r="A8" s="149" t="s">
        <v>342</v>
      </c>
      <c r="B8" s="150">
        <f>IF(ISBLANK(IEF_Status), "", IF(IEF_Status="No",13100,IEF))</f>
        <v>13100</v>
      </c>
    </row>
    <row r="9" spans="1:10" ht="15" x14ac:dyDescent="0.25">
      <c r="A9" s="149" t="s">
        <v>125</v>
      </c>
      <c r="B9" s="267" t="e">
        <f>SI(If_min,$B$6,$B$7,$B$8,HiSetStatus,HiSetTime)</f>
        <v>#VALUE!</v>
      </c>
      <c r="C9" s="267" t="e">
        <f>SI(If_max,$B$6,$B$7,$B$8,HiSetStatus,HiSetTime)</f>
        <v>#VALUE!</v>
      </c>
    </row>
    <row r="10" spans="1:10" ht="15" x14ac:dyDescent="0.25">
      <c r="A10" s="149" t="s">
        <v>126</v>
      </c>
      <c r="B10" s="267" t="e">
        <f>VI(If_min,$B$6,$B$7,$B$8,HiSetStatus,HiSetTime)</f>
        <v>#VALUE!</v>
      </c>
      <c r="C10" s="267" t="e">
        <f>VI(If_max,$B$6,$B$7,$B$8,HiSetStatus,HiSetTime)</f>
        <v>#VALUE!</v>
      </c>
    </row>
    <row r="11" spans="1:10" ht="15" x14ac:dyDescent="0.25">
      <c r="A11" s="149" t="s">
        <v>131</v>
      </c>
      <c r="B11" s="267" t="e">
        <f>EI(If_min,$B$6,$B$7,$B$8,HiSetStatus,HiSetTime)</f>
        <v>#VALUE!</v>
      </c>
      <c r="C11" s="267" t="e">
        <f>EI(If_max,$B$6,$B$7,$B$8,HiSetStatus,HiSetTime)</f>
        <v>#VALUE!</v>
      </c>
    </row>
    <row r="12" spans="1:10" ht="15" x14ac:dyDescent="0.25">
      <c r="A12" s="149" t="s">
        <v>45</v>
      </c>
      <c r="B12" s="267" t="e">
        <f>IF(VLOOKUP(EF_curve,$A$30:$C$58,2,FALSE)=10,(IF(If_min&gt;C13,10,"Inf")),VLOOKUP(EF_curve,$A$30:$C$58,2,FALSE))</f>
        <v>#VALUE!</v>
      </c>
      <c r="C12" s="267" t="e">
        <f>IF(VLOOKUP(EF_curve,$A$30:$C$58,3,FALSE)=10,(IF(If_min&gt;C13,10,"Inf")),VLOOKUP(EF_curve,$A$30:$C$58,3,FALSE))</f>
        <v>#VALUE!</v>
      </c>
    </row>
    <row r="13" spans="1:10" x14ac:dyDescent="0.2">
      <c r="A13" s="96" t="s">
        <v>475</v>
      </c>
      <c r="B13" s="319">
        <f>IF(SEF_YN="Yes",(SEF_User*2),10000)</f>
        <v>10000</v>
      </c>
      <c r="C13" s="319">
        <f>IF(SEF_YN="Yes",(SEF_User*2),10000)</f>
        <v>10000</v>
      </c>
    </row>
    <row r="14" spans="1:10" ht="15.75" thickBot="1" x14ac:dyDescent="0.3">
      <c r="A14" s="146" t="s">
        <v>127</v>
      </c>
      <c r="B14" s="145"/>
      <c r="C14" s="145"/>
      <c r="D14" s="145"/>
      <c r="E14" s="654" t="s">
        <v>340</v>
      </c>
      <c r="F14" s="654"/>
      <c r="G14" s="654"/>
      <c r="H14" s="151" t="s">
        <v>341</v>
      </c>
      <c r="I14" s="151"/>
      <c r="J14" s="151"/>
    </row>
    <row r="15" spans="1:10" ht="27" thickBot="1" x14ac:dyDescent="0.3">
      <c r="A15" s="651" t="s">
        <v>43</v>
      </c>
      <c r="B15" s="652"/>
      <c r="C15" s="653"/>
      <c r="D15" s="116" t="s">
        <v>44</v>
      </c>
      <c r="E15" s="115" t="s">
        <v>46</v>
      </c>
      <c r="F15" s="115" t="s">
        <v>47</v>
      </c>
      <c r="G15" s="149" t="s">
        <v>132</v>
      </c>
      <c r="H15" s="119" t="s">
        <v>46</v>
      </c>
      <c r="I15" s="119" t="s">
        <v>47</v>
      </c>
      <c r="J15" s="151"/>
    </row>
    <row r="16" spans="1:10" ht="13.5" thickBot="1" x14ac:dyDescent="0.25">
      <c r="A16" s="152">
        <v>7000</v>
      </c>
      <c r="B16" s="153" t="s">
        <v>42</v>
      </c>
      <c r="C16" s="153" t="s">
        <v>41</v>
      </c>
      <c r="D16" s="153">
        <v>0.6</v>
      </c>
      <c r="E16" s="117" t="e">
        <f>IF(If_min&gt;A16,1,0)</f>
        <v>#DIV/0!</v>
      </c>
      <c r="F16" s="118">
        <v>0.6</v>
      </c>
      <c r="G16" s="145" t="e">
        <f>E16*F16</f>
        <v>#DIV/0!</v>
      </c>
      <c r="H16" s="117" t="e">
        <f>IF(Ifmax_total&gt;A16,1,0)</f>
        <v>#DIV/0!</v>
      </c>
      <c r="I16" s="118">
        <v>0.6</v>
      </c>
      <c r="J16" s="145" t="e">
        <f>H16*I16</f>
        <v>#DIV/0!</v>
      </c>
    </row>
    <row r="17" spans="1:10" ht="13.5" thickBot="1" x14ac:dyDescent="0.25">
      <c r="A17" s="152">
        <v>5000</v>
      </c>
      <c r="B17" s="153" t="s">
        <v>42</v>
      </c>
      <c r="C17" s="154">
        <v>6999</v>
      </c>
      <c r="D17" s="153">
        <v>0.7</v>
      </c>
      <c r="E17" s="117" t="e">
        <f t="shared" ref="E17:E23" si="0">IF(AND(If_min&gt;A17,If_min&lt;C17),1,0)</f>
        <v>#DIV/0!</v>
      </c>
      <c r="F17" s="118" t="e">
        <f t="shared" ref="F17:F23" si="1">IF(AND(If_min&gt;A17,If_min&lt;C17),(A16-If_min)/(A16-A17)*(D17-D16)+D16,0)</f>
        <v>#DIV/0!</v>
      </c>
      <c r="G17" s="145" t="e">
        <f t="shared" ref="G17:G24" si="2">E17*F17</f>
        <v>#DIV/0!</v>
      </c>
      <c r="H17" s="117" t="e">
        <f t="shared" ref="H17:H24" si="3">IF(AND(Ifmax_total&gt;A17,Ifmax_total&lt;C17),1,0)</f>
        <v>#DIV/0!</v>
      </c>
      <c r="I17" s="118" t="e">
        <f t="shared" ref="I17:I23" si="4">IF(AND(Ifmax_total&gt;A17,Ifmax_total&lt;C17),(A16-Ifmax_total)/(A16-A17)*(D17-D16)+D16,0)</f>
        <v>#DIV/0!</v>
      </c>
      <c r="J17" s="145" t="e">
        <f t="shared" ref="J17:J24" si="5">H17*I17</f>
        <v>#DIV/0!</v>
      </c>
    </row>
    <row r="18" spans="1:10" ht="13.5" thickBot="1" x14ac:dyDescent="0.25">
      <c r="A18" s="152">
        <v>4000</v>
      </c>
      <c r="B18" s="153" t="s">
        <v>42</v>
      </c>
      <c r="C18" s="154">
        <v>4999</v>
      </c>
      <c r="D18" s="153">
        <v>0.8</v>
      </c>
      <c r="E18" s="117" t="e">
        <f t="shared" si="0"/>
        <v>#DIV/0!</v>
      </c>
      <c r="F18" s="118" t="e">
        <f t="shared" si="1"/>
        <v>#DIV/0!</v>
      </c>
      <c r="G18" s="145" t="e">
        <f t="shared" si="2"/>
        <v>#DIV/0!</v>
      </c>
      <c r="H18" s="117" t="e">
        <f t="shared" si="3"/>
        <v>#DIV/0!</v>
      </c>
      <c r="I18" s="118" t="e">
        <f t="shared" si="4"/>
        <v>#DIV/0!</v>
      </c>
      <c r="J18" s="145" t="e">
        <f t="shared" si="5"/>
        <v>#DIV/0!</v>
      </c>
    </row>
    <row r="19" spans="1:10" ht="13.5" thickBot="1" x14ac:dyDescent="0.25">
      <c r="A19" s="152">
        <v>3000</v>
      </c>
      <c r="B19" s="153" t="s">
        <v>42</v>
      </c>
      <c r="C19" s="154">
        <v>3999</v>
      </c>
      <c r="D19" s="153">
        <v>0.9</v>
      </c>
      <c r="E19" s="117" t="e">
        <f t="shared" si="0"/>
        <v>#DIV/0!</v>
      </c>
      <c r="F19" s="118" t="e">
        <f t="shared" si="1"/>
        <v>#DIV/0!</v>
      </c>
      <c r="G19" s="145" t="e">
        <f t="shared" si="2"/>
        <v>#DIV/0!</v>
      </c>
      <c r="H19" s="117" t="e">
        <f t="shared" si="3"/>
        <v>#DIV/0!</v>
      </c>
      <c r="I19" s="118" t="e">
        <f t="shared" si="4"/>
        <v>#DIV/0!</v>
      </c>
      <c r="J19" s="145" t="e">
        <f t="shared" si="5"/>
        <v>#DIV/0!</v>
      </c>
    </row>
    <row r="20" spans="1:10" ht="13.5" thickBot="1" x14ac:dyDescent="0.25">
      <c r="A20" s="152">
        <v>2000</v>
      </c>
      <c r="B20" s="153" t="s">
        <v>42</v>
      </c>
      <c r="C20" s="154">
        <v>2999</v>
      </c>
      <c r="D20" s="153">
        <v>1</v>
      </c>
      <c r="E20" s="117" t="e">
        <f>IF(AND(If_min&gt;A20,If_min&lt;C20),1,0)</f>
        <v>#DIV/0!</v>
      </c>
      <c r="F20" s="118" t="e">
        <f t="shared" si="1"/>
        <v>#DIV/0!</v>
      </c>
      <c r="G20" s="145" t="e">
        <f t="shared" si="2"/>
        <v>#DIV/0!</v>
      </c>
      <c r="H20" s="117" t="e">
        <f t="shared" si="3"/>
        <v>#DIV/0!</v>
      </c>
      <c r="I20" s="118" t="e">
        <f t="shared" si="4"/>
        <v>#DIV/0!</v>
      </c>
      <c r="J20" s="145" t="e">
        <f t="shared" si="5"/>
        <v>#DIV/0!</v>
      </c>
    </row>
    <row r="21" spans="1:10" ht="13.5" thickBot="1" x14ac:dyDescent="0.25">
      <c r="A21" s="152">
        <v>1500</v>
      </c>
      <c r="B21" s="153" t="s">
        <v>42</v>
      </c>
      <c r="C21" s="154">
        <v>1999</v>
      </c>
      <c r="D21" s="153">
        <v>1.5</v>
      </c>
      <c r="E21" s="117" t="e">
        <f t="shared" si="0"/>
        <v>#DIV/0!</v>
      </c>
      <c r="F21" s="118" t="e">
        <f t="shared" si="1"/>
        <v>#DIV/0!</v>
      </c>
      <c r="G21" s="145" t="e">
        <f t="shared" si="2"/>
        <v>#DIV/0!</v>
      </c>
      <c r="H21" s="117" t="e">
        <f t="shared" si="3"/>
        <v>#DIV/0!</v>
      </c>
      <c r="I21" s="118" t="e">
        <f t="shared" si="4"/>
        <v>#DIV/0!</v>
      </c>
      <c r="J21" s="145" t="e">
        <f t="shared" si="5"/>
        <v>#DIV/0!</v>
      </c>
    </row>
    <row r="22" spans="1:10" ht="13.5" thickBot="1" x14ac:dyDescent="0.25">
      <c r="A22" s="152">
        <v>1000</v>
      </c>
      <c r="B22" s="153" t="s">
        <v>42</v>
      </c>
      <c r="C22" s="154">
        <v>1499</v>
      </c>
      <c r="D22" s="153">
        <v>2</v>
      </c>
      <c r="E22" s="117" t="e">
        <f t="shared" si="0"/>
        <v>#DIV/0!</v>
      </c>
      <c r="F22" s="118" t="e">
        <f t="shared" si="1"/>
        <v>#DIV/0!</v>
      </c>
      <c r="G22" s="145" t="e">
        <f t="shared" si="2"/>
        <v>#DIV/0!</v>
      </c>
      <c r="H22" s="117" t="e">
        <f t="shared" si="3"/>
        <v>#DIV/0!</v>
      </c>
      <c r="I22" s="118" t="e">
        <f t="shared" si="4"/>
        <v>#DIV/0!</v>
      </c>
      <c r="J22" s="145" t="e">
        <f t="shared" si="5"/>
        <v>#DIV/0!</v>
      </c>
    </row>
    <row r="23" spans="1:10" ht="13.5" thickBot="1" x14ac:dyDescent="0.25">
      <c r="A23" s="152">
        <v>500</v>
      </c>
      <c r="B23" s="153" t="s">
        <v>42</v>
      </c>
      <c r="C23" s="154">
        <v>999</v>
      </c>
      <c r="D23" s="153">
        <v>3</v>
      </c>
      <c r="E23" s="117" t="e">
        <f t="shared" si="0"/>
        <v>#DIV/0!</v>
      </c>
      <c r="F23" s="118" t="e">
        <f t="shared" si="1"/>
        <v>#DIV/0!</v>
      </c>
      <c r="G23" s="145" t="e">
        <f t="shared" si="2"/>
        <v>#DIV/0!</v>
      </c>
      <c r="H23" s="117" t="e">
        <f t="shared" si="3"/>
        <v>#DIV/0!</v>
      </c>
      <c r="I23" s="118" t="e">
        <f t="shared" si="4"/>
        <v>#DIV/0!</v>
      </c>
      <c r="J23" s="145" t="e">
        <f t="shared" si="5"/>
        <v>#DIV/0!</v>
      </c>
    </row>
    <row r="24" spans="1:10" ht="13.5" thickBot="1" x14ac:dyDescent="0.25">
      <c r="A24" s="152">
        <f>IF(ef_settings_used="User Defined",SEF_User*2,20)</f>
        <v>20</v>
      </c>
      <c r="B24" s="153" t="s">
        <v>42</v>
      </c>
      <c r="C24" s="154">
        <v>499</v>
      </c>
      <c r="D24" s="153">
        <v>10</v>
      </c>
      <c r="E24" s="117" t="e">
        <f>IF(AND(If_min&gt;A24,If_min&lt;C24),1,0)</f>
        <v>#DIV/0!</v>
      </c>
      <c r="F24" s="118">
        <v>10</v>
      </c>
      <c r="G24" s="145" t="e">
        <f t="shared" si="2"/>
        <v>#DIV/0!</v>
      </c>
      <c r="H24" s="117" t="e">
        <f t="shared" si="3"/>
        <v>#DIV/0!</v>
      </c>
      <c r="I24" s="118">
        <v>10</v>
      </c>
      <c r="J24" s="145" t="e">
        <f t="shared" si="5"/>
        <v>#DIV/0!</v>
      </c>
    </row>
    <row r="25" spans="1:10" x14ac:dyDescent="0.2">
      <c r="A25" s="145"/>
      <c r="B25" s="145"/>
      <c r="C25" s="145"/>
      <c r="D25" s="145"/>
      <c r="E25" s="155" t="s">
        <v>114</v>
      </c>
      <c r="F25" s="155"/>
      <c r="G25" s="145" t="e">
        <f>SUM(G16:G24)</f>
        <v>#DIV/0!</v>
      </c>
      <c r="H25" s="155" t="s">
        <v>114</v>
      </c>
      <c r="I25" s="145"/>
      <c r="J25" s="145" t="e">
        <f>SUM(J16:J24)</f>
        <v>#DIV/0!</v>
      </c>
    </row>
    <row r="26" spans="1:10" ht="20.25" thickBot="1" x14ac:dyDescent="0.35">
      <c r="A26" s="148" t="s">
        <v>128</v>
      </c>
      <c r="G26" s="35">
        <f>IF(AND(ef_settings_used="Default",SEF_YN="Yes"),,)</f>
        <v>0</v>
      </c>
    </row>
    <row r="27" spans="1:10" ht="15.75" thickTop="1" x14ac:dyDescent="0.25">
      <c r="A27" s="149" t="s">
        <v>129</v>
      </c>
      <c r="B27" s="150">
        <f>IF(ISBLANK(EF_pickup),"",EF_pickup)</f>
        <v>240</v>
      </c>
    </row>
    <row r="28" spans="1:10" ht="15" x14ac:dyDescent="0.25">
      <c r="A28" s="149" t="s">
        <v>130</v>
      </c>
      <c r="B28" s="150">
        <f>IF(ISBLANK(EF_TL),"",EF_TL)</f>
        <v>0.13</v>
      </c>
    </row>
    <row r="29" spans="1:10" ht="15" x14ac:dyDescent="0.25">
      <c r="A29" s="149" t="s">
        <v>342</v>
      </c>
      <c r="B29" s="275">
        <f>IF(ISBLANK(IEF_Status), "", IF(IEF_Status="No",13100,IEF))</f>
        <v>13100</v>
      </c>
    </row>
    <row r="30" spans="1:10" ht="15" x14ac:dyDescent="0.25">
      <c r="A30" s="279" t="s">
        <v>457</v>
      </c>
      <c r="B30" s="278" t="e">
        <f>SI(If_min,$B$27,$B$28,$B$29,HiSetStatus,HiSetTime)</f>
        <v>#VALUE!</v>
      </c>
      <c r="C30" s="278" t="e">
        <f>SI(Max_Fault_Total_Fault,$B$27,$B$28,$B$29,HiSetStatus,HiSetTime)</f>
        <v>#VALUE!</v>
      </c>
    </row>
    <row r="31" spans="1:10" ht="15" x14ac:dyDescent="0.25">
      <c r="A31" s="279" t="s">
        <v>458</v>
      </c>
      <c r="B31" s="278" t="e">
        <f>VI(If_min,$B$27,$B$28,$B$29,HiSetStatus,HiSetTime)</f>
        <v>#VALUE!</v>
      </c>
      <c r="C31" s="278" t="e">
        <f>VI(Max_Fault_Total_Fault,$B$27,$B$28,$B$29,HiSetStatus,HiSetTime)</f>
        <v>#VALUE!</v>
      </c>
    </row>
    <row r="32" spans="1:10" ht="15" x14ac:dyDescent="0.25">
      <c r="A32" s="279" t="s">
        <v>459</v>
      </c>
      <c r="B32" s="278" t="e">
        <f>EI(If_min,$B$27,$B$28,$B$29,HiSetStatus,HiSetTime)</f>
        <v>#VALUE!</v>
      </c>
      <c r="C32" s="278" t="e">
        <f>EI(Max_Fault_Total_Fault,$B$27,$B$28,$B$29,HiSetStatus,HiSetTime)</f>
        <v>#VALUE!</v>
      </c>
    </row>
    <row r="33" spans="1:3" ht="15" x14ac:dyDescent="0.25">
      <c r="A33" s="276" t="s">
        <v>438</v>
      </c>
      <c r="B33" s="277" t="e">
        <f>SI(If_min,$B$27,$B$28,$B$29,HiSetStatus,HiSetTime)</f>
        <v>#VALUE!</v>
      </c>
      <c r="C33" s="277" t="e">
        <f>SI(Max_Fault_Total_Fault,$B$27,$B$28,$B$29,HiSetStatus,HiSetTime)</f>
        <v>#VALUE!</v>
      </c>
    </row>
    <row r="34" spans="1:3" ht="15" x14ac:dyDescent="0.25">
      <c r="A34" s="276" t="s">
        <v>439</v>
      </c>
      <c r="B34" s="277" t="e">
        <f>VI(If_min,$B$27,$B$28,$B$29,HiSetStatus,HiSetTime)</f>
        <v>#VALUE!</v>
      </c>
      <c r="C34" s="277" t="e">
        <f>VI(Max_Fault_Total_Fault,$B$27,$B$28,$B$29,HiSetStatus,HiSetTime)</f>
        <v>#VALUE!</v>
      </c>
    </row>
    <row r="35" spans="1:3" ht="15" x14ac:dyDescent="0.25">
      <c r="A35" s="276" t="s">
        <v>440</v>
      </c>
      <c r="B35" s="277" t="e">
        <f>EI(If_min,$B$27,$B$28,$B$29,HiSetStatus,HiSetTime)</f>
        <v>#VALUE!</v>
      </c>
      <c r="C35" s="277" t="e">
        <f>EI(Max_Fault_Total_Fault,$B$27,$B$28,$B$29,HiSetStatus,HiSetTime)</f>
        <v>#VALUE!</v>
      </c>
    </row>
    <row r="36" spans="1:3" ht="15" x14ac:dyDescent="0.25">
      <c r="A36" s="276" t="s">
        <v>441</v>
      </c>
      <c r="B36" s="277" t="e">
        <f>Basler_SI(If_min,$B$27,$B$28,$B$29,HiSetStatus,HiSetTime)</f>
        <v>#VALUE!</v>
      </c>
      <c r="C36" s="277" t="e">
        <f>Basler_SI(Max_Fault_Total_Fault,$B$27,$B$28,$B$29,HiSetStatus,HiSetTime)</f>
        <v>#VALUE!</v>
      </c>
    </row>
    <row r="37" spans="1:3" ht="15" x14ac:dyDescent="0.25">
      <c r="A37" s="276" t="s">
        <v>442</v>
      </c>
      <c r="B37" s="277" t="e">
        <f>Basler_VI(If_min,$B$27,$B$28,$B$29,HiSetStatus,HiSetTime)</f>
        <v>#VALUE!</v>
      </c>
      <c r="C37" s="277" t="e">
        <f>Basler_VI(Max_Fault_Total_Fault,$B$27,$B$28,$B$29,HiSetStatus,HiSetTime)</f>
        <v>#VALUE!</v>
      </c>
    </row>
    <row r="38" spans="1:3" ht="15" x14ac:dyDescent="0.25">
      <c r="A38" s="276" t="s">
        <v>443</v>
      </c>
      <c r="B38" s="277" t="e">
        <f>Basler_EI(If_min,$B$27,$B$28,$B$29,HiSetStatus,HiSetTime)</f>
        <v>#VALUE!</v>
      </c>
      <c r="C38" s="277" t="e">
        <f>Basler_EI(Max_Fault_Total_Fault,$B$27,$B$28,$B$29,HiSetStatus,HiSetTime)</f>
        <v>#VALUE!</v>
      </c>
    </row>
    <row r="39" spans="1:3" ht="15" x14ac:dyDescent="0.25">
      <c r="A39" s="276" t="s">
        <v>444</v>
      </c>
      <c r="B39" s="277" t="e">
        <f>SI(If_min,$B$27,$B$28,$B$29,HiSetStatus,HiSetTime)</f>
        <v>#VALUE!</v>
      </c>
      <c r="C39" s="277" t="e">
        <f>SI(Max_Fault_Total_Fault,$B$27,$B$28,$B$29,HiSetStatus,HiSetTime)</f>
        <v>#VALUE!</v>
      </c>
    </row>
    <row r="40" spans="1:3" ht="15" x14ac:dyDescent="0.25">
      <c r="A40" s="276" t="s">
        <v>445</v>
      </c>
      <c r="B40" s="277" t="e">
        <f>VI(If_min,$B$27,$B$28,$B$29,HiSetStatus,HiSetTime)</f>
        <v>#VALUE!</v>
      </c>
      <c r="C40" s="277" t="e">
        <f>VI(Max_Fault_Total_Fault,$B$27,$B$28,$B$29,HiSetStatus,HiSetTime)</f>
        <v>#VALUE!</v>
      </c>
    </row>
    <row r="41" spans="1:3" ht="15" x14ac:dyDescent="0.25">
      <c r="A41" s="276" t="s">
        <v>446</v>
      </c>
      <c r="B41" s="277" t="e">
        <f>EI(If_min,$B$27,$B$28,$B$29,HiSetStatus,HiSetTime)</f>
        <v>#VALUE!</v>
      </c>
      <c r="C41" s="277" t="e">
        <f>EI(Max_Fault_Total_Fault,$B$27,$B$28,$B$29,HiSetStatus,HiSetTime)</f>
        <v>#VALUE!</v>
      </c>
    </row>
    <row r="42" spans="1:3" ht="15" x14ac:dyDescent="0.25">
      <c r="A42" s="276" t="s">
        <v>447</v>
      </c>
      <c r="B42" s="277" t="e">
        <f>NojaSI(If_min,$B$27,$B$28,$B$29,HiSetStatus,HiSetTime)</f>
        <v>#VALUE!</v>
      </c>
      <c r="C42" s="277" t="e">
        <f>NojaSI(Max_Fault_Total_Fault,$B$27,$B$28,$B$29,HiSetStatus,HiSetTime)</f>
        <v>#VALUE!</v>
      </c>
    </row>
    <row r="43" spans="1:3" ht="15" x14ac:dyDescent="0.25">
      <c r="A43" s="276" t="s">
        <v>448</v>
      </c>
      <c r="B43" s="277" t="e">
        <f>NojaVI(If_min,$B$27,$B$28,$B$29,HiSetStatus,HiSetTime)</f>
        <v>#VALUE!</v>
      </c>
      <c r="C43" s="277" t="e">
        <f>NojaVI(Max_Fault_Total_Fault,$B$27,$B$28,$B$29,HiSetStatus,HiSetTime)</f>
        <v>#VALUE!</v>
      </c>
    </row>
    <row r="44" spans="1:3" ht="15" x14ac:dyDescent="0.25">
      <c r="A44" s="276" t="s">
        <v>449</v>
      </c>
      <c r="B44" s="277" t="e">
        <f>NojaEi(If_min,$B$27,$B$28,$B$29,HiSetStatus,HiSetTime)</f>
        <v>#VALUE!</v>
      </c>
      <c r="C44" s="277" t="e">
        <f>NojaEi(Max_Fault_Total_Fault,$B$27,$B$28,$B$29,HiSetStatus,HiSetTime)</f>
        <v>#VALUE!</v>
      </c>
    </row>
    <row r="45" spans="1:3" ht="15" x14ac:dyDescent="0.25">
      <c r="A45" s="276" t="s">
        <v>456</v>
      </c>
      <c r="B45" s="277" t="e">
        <f>NojaSTI(If_min,$B$27,$B$28,$B$29,HiSetStatus,HiSetTime)</f>
        <v>#VALUE!</v>
      </c>
      <c r="C45" s="277" t="e">
        <f>NojaSTI(Max_Fault_Total_Fault,$B$27,$B$28,$B$29,HiSetStatus,HiSetTime)</f>
        <v>#VALUE!</v>
      </c>
    </row>
    <row r="46" spans="1:3" ht="15" x14ac:dyDescent="0.25">
      <c r="A46" s="276" t="s">
        <v>450</v>
      </c>
      <c r="B46" s="277" t="e">
        <f>SI(If_min,$B$27,$B$28,$B$29,HiSetStatus,HiSetTime)</f>
        <v>#VALUE!</v>
      </c>
      <c r="C46" s="277" t="e">
        <f>SI(Max_Fault_Total_Fault,$B$27,$B$28,$B$29,HiSetStatus,HiSetTime)</f>
        <v>#VALUE!</v>
      </c>
    </row>
    <row r="47" spans="1:3" ht="15" x14ac:dyDescent="0.25">
      <c r="A47" s="276" t="s">
        <v>451</v>
      </c>
      <c r="B47" s="277" t="e">
        <f>VI(If_min,$B$27,$B$28,$B$29,HiSetStatus,HiSetTime)</f>
        <v>#VALUE!</v>
      </c>
      <c r="C47" s="277" t="e">
        <f>VI(Max_Fault_Total_Fault,$B$27,$B$28,$B$29,HiSetStatus,HiSetTime)</f>
        <v>#VALUE!</v>
      </c>
    </row>
    <row r="48" spans="1:3" ht="15" x14ac:dyDescent="0.25">
      <c r="A48" s="276" t="s">
        <v>452</v>
      </c>
      <c r="B48" s="277" t="e">
        <f>EI(If_min,$B$27,$B$28,$B$29,HiSetStatus,HiSetTime)</f>
        <v>#VALUE!</v>
      </c>
      <c r="C48" s="277" t="e">
        <f>EI(Max_Fault_Total_Fault,$B$27,$B$28,$B$29,HiSetStatus,HiSetTime)</f>
        <v>#VALUE!</v>
      </c>
    </row>
    <row r="49" spans="1:3" ht="15" x14ac:dyDescent="0.25">
      <c r="A49" s="276" t="s">
        <v>453</v>
      </c>
      <c r="B49" s="277" t="e">
        <f>SI(If_min,$B$27,$B$28,$B$29,HiSetStatus,HiSetTime)</f>
        <v>#VALUE!</v>
      </c>
      <c r="C49" s="277" t="e">
        <f>SI(Max_Fault_Total_Fault,$B$27,$B$28,$B$29,HiSetStatus,HiSetTime)</f>
        <v>#VALUE!</v>
      </c>
    </row>
    <row r="50" spans="1:3" ht="15" x14ac:dyDescent="0.25">
      <c r="A50" s="276" t="s">
        <v>454</v>
      </c>
      <c r="B50" s="277" t="e">
        <f>VI(If_min,$B$27,$B$28,$B$29,HiSetStatus,HiSetTime)</f>
        <v>#VALUE!</v>
      </c>
      <c r="C50" s="277" t="e">
        <f>VI(Max_Fault_Total_Fault,$B$27,$B$28,$B$29,HiSetStatus,HiSetTime)</f>
        <v>#VALUE!</v>
      </c>
    </row>
    <row r="51" spans="1:3" ht="15" x14ac:dyDescent="0.25">
      <c r="A51" s="276" t="s">
        <v>455</v>
      </c>
      <c r="B51" s="277" t="e">
        <f>EI(If_min,$B$27,$B$28,$B$29,HiSetStatus,HiSetTime)</f>
        <v>#VALUE!</v>
      </c>
      <c r="C51" s="277" t="e">
        <f>EI(Max_Fault_Total_Fault,$B$27,$B$28,$B$29,HiSetStatus,HiSetTime)</f>
        <v>#VALUE!</v>
      </c>
    </row>
    <row r="52" spans="1:3" ht="15" x14ac:dyDescent="0.25">
      <c r="A52" s="280" t="s">
        <v>460</v>
      </c>
      <c r="B52" s="277" t="e">
        <f>Basler_CO2(If_min,$B$27,$B$28,$B$29,HiSetStatus,HiSetTime)</f>
        <v>#VALUE!</v>
      </c>
      <c r="C52" s="277" t="e">
        <f>Basler_CO2(Max_Fault_Total_Fault,$B$27,$B$28,$B$29,HiSetStatus,HiSetTime)</f>
        <v>#VALUE!</v>
      </c>
    </row>
    <row r="53" spans="1:3" ht="15" x14ac:dyDescent="0.25">
      <c r="A53" s="280" t="s">
        <v>461</v>
      </c>
      <c r="B53" s="277" t="e">
        <f>Basler_CO6(If_min,$B$27,$B$28,$B$29,HiSetStatus,HiSetTime)</f>
        <v>#VALUE!</v>
      </c>
      <c r="C53" s="277" t="e">
        <f>Basler_CO6(Max_Fault_Total_Fault,$B$27,$B$28,$B$29,HiSetStatus,HiSetTime)</f>
        <v>#VALUE!</v>
      </c>
    </row>
    <row r="54" spans="1:3" ht="15" x14ac:dyDescent="0.25">
      <c r="A54" s="280" t="s">
        <v>462</v>
      </c>
      <c r="B54" s="277" t="e">
        <f>Basler_CO7(If_min,$B$27,$B$28,$B$29,HiSetStatus,HiSetTime)</f>
        <v>#VALUE!</v>
      </c>
      <c r="C54" s="277" t="e">
        <f>Basler_CO7(Max_Fault_Total_Fault,$B$27,$B$28,$B$29,HiSetStatus,HiSetTime)</f>
        <v>#VALUE!</v>
      </c>
    </row>
    <row r="55" spans="1:3" ht="15" x14ac:dyDescent="0.25">
      <c r="A55" s="280" t="s">
        <v>463</v>
      </c>
      <c r="B55" s="277" t="e">
        <f>Basler_CO8(If_min,$B$27,$B$28,$B$29,HiSetStatus,HiSetTime)</f>
        <v>#VALUE!</v>
      </c>
      <c r="C55" s="277" t="e">
        <f>Basler_CO8(Max_Fault_Total_Fault,$B$27,$B$28,$B$29,HiSetStatus,HiSetTime)</f>
        <v>#VALUE!</v>
      </c>
    </row>
    <row r="56" spans="1:3" ht="15" x14ac:dyDescent="0.25">
      <c r="A56" s="280" t="s">
        <v>464</v>
      </c>
      <c r="B56" s="277" t="e">
        <f>Basler_CO9(If_min,$B$27,$B$28,$B$29,HiSetStatus,HiSetTime)</f>
        <v>#VALUE!</v>
      </c>
      <c r="C56" s="277" t="e">
        <f>Basler_CO9(Max_Fault_Total_Fault,$B$27,$B$28,$B$29,HiSetStatus,HiSetTime)</f>
        <v>#VALUE!</v>
      </c>
    </row>
    <row r="57" spans="1:3" ht="15" x14ac:dyDescent="0.25">
      <c r="A57" s="281" t="s">
        <v>468</v>
      </c>
      <c r="B57" s="277" t="e">
        <f>CDG33_VI(If_min,$B$27,$B$28,$B$29,HiSetStatus,HiSetTime)</f>
        <v>#VALUE!</v>
      </c>
      <c r="C57" s="277" t="e">
        <f>CDG33_VI(Max_Fault_Total_Fault,$B$27,$B$28,$B$29,HiSetStatus,HiSetTime)</f>
        <v>#VALUE!</v>
      </c>
    </row>
    <row r="58" spans="1:3" ht="15" x14ac:dyDescent="0.25">
      <c r="A58" s="281" t="s">
        <v>467</v>
      </c>
      <c r="B58" s="277" t="e">
        <f>CDG31_SI(If_min,$B$27,$B$28,$B$29,HiSetStatus,HiSetTime)</f>
        <v>#VALUE!</v>
      </c>
      <c r="C58" s="277" t="e">
        <f>CDG31_SI(Max_Fault_Total_Fault,$B$27,$B$28,$B$29,HiSetStatus,HiSetTime)</f>
        <v>#VALUE!</v>
      </c>
    </row>
  </sheetData>
  <mergeCells count="2">
    <mergeCell ref="A15:C15"/>
    <mergeCell ref="E14:G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B115"/>
  <sheetViews>
    <sheetView zoomScale="70" zoomScaleNormal="70" workbookViewId="0">
      <selection activeCell="D3" sqref="D3"/>
    </sheetView>
  </sheetViews>
  <sheetFormatPr defaultRowHeight="12.75" x14ac:dyDescent="0.2"/>
  <sheetData>
    <row r="1" spans="1:54" x14ac:dyDescent="0.2">
      <c r="A1" s="52" t="s">
        <v>111</v>
      </c>
      <c r="B1" s="52"/>
      <c r="D1">
        <f>Rho</f>
        <v>0</v>
      </c>
    </row>
    <row r="2" spans="1:54" x14ac:dyDescent="0.2">
      <c r="A2" s="52" t="s">
        <v>112</v>
      </c>
      <c r="B2" s="52"/>
      <c r="D2">
        <f ca="1">IF(D1&lt;B6,B6,OFFSET(A6,0,MATCH(D1,B6:I6,1)))</f>
        <v>5</v>
      </c>
      <c r="K2" s="52"/>
      <c r="L2" s="52"/>
      <c r="P2">
        <f ca="1">IF(D1&lt;L6,L6,OFFSET(K6,0,MATCH(D1,L6:S6,1)))</f>
        <v>5</v>
      </c>
    </row>
    <row r="3" spans="1:54" x14ac:dyDescent="0.2">
      <c r="A3" s="52" t="s">
        <v>114</v>
      </c>
      <c r="B3" s="52"/>
      <c r="D3" s="1" t="e">
        <f>primary_EF_time</f>
        <v>#DIV/0!</v>
      </c>
      <c r="E3" s="52" t="s">
        <v>346</v>
      </c>
    </row>
    <row r="4" spans="1:54" ht="15" x14ac:dyDescent="0.25">
      <c r="A4" s="51" t="s">
        <v>113</v>
      </c>
      <c r="B4" s="51"/>
      <c r="C4" s="51"/>
      <c r="D4" s="51" t="e">
        <f ca="1">OFFSET(A5,0,MATCH($D$2,B6:I6,0))</f>
        <v>#DIV/0!</v>
      </c>
      <c r="E4" s="51"/>
      <c r="F4" s="51"/>
      <c r="G4" s="51"/>
      <c r="H4" s="51"/>
      <c r="I4" s="51"/>
      <c r="K4" s="66" t="s">
        <v>134</v>
      </c>
      <c r="L4" s="66"/>
      <c r="M4" s="125"/>
      <c r="N4" s="125"/>
      <c r="O4" s="66"/>
      <c r="P4" s="66" t="e">
        <f ca="1">OFFSET(K5,0,MATCH($P$2,L6:S6,0))</f>
        <v>#DIV/0!</v>
      </c>
      <c r="Q4" s="66"/>
      <c r="R4" s="66"/>
      <c r="S4" s="66"/>
      <c r="T4" s="66"/>
      <c r="V4" s="52" t="s">
        <v>357</v>
      </c>
      <c r="AA4" s="126" t="e">
        <f ca="1">OFFSET(V5,0,MATCH($P$2,W6:AD6,0))</f>
        <v>#DIV/0!</v>
      </c>
      <c r="AF4" s="112" t="s">
        <v>338</v>
      </c>
      <c r="AG4" s="112"/>
      <c r="AH4" s="112" t="e">
        <f ca="1">AG5</f>
        <v>#DIV/0!</v>
      </c>
      <c r="AI4" s="114"/>
      <c r="AJ4" s="113" t="s">
        <v>339</v>
      </c>
      <c r="AK4" s="113"/>
      <c r="AL4" s="113" t="e">
        <f ca="1">AK5</f>
        <v>#DIV/0!</v>
      </c>
      <c r="AN4" s="156" t="s">
        <v>360</v>
      </c>
      <c r="AO4" s="157"/>
      <c r="AP4" s="157"/>
      <c r="AQ4" s="157"/>
      <c r="AR4" s="157"/>
      <c r="AS4" s="158" t="e">
        <f ca="1">OFFSET(AN5,0,MATCH($P$2,AO6:AV6,0))</f>
        <v>#DIV/0!</v>
      </c>
      <c r="AT4" s="157"/>
      <c r="AV4" s="66" t="s">
        <v>361</v>
      </c>
      <c r="AW4" s="66"/>
      <c r="AX4" s="66"/>
      <c r="AY4" s="66"/>
      <c r="AZ4" s="66"/>
      <c r="BA4" s="66" t="e">
        <f ca="1">OFFSET(AV5,0,MATCH($P$2,AW6:BD6,0))</f>
        <v>#DIV/0!</v>
      </c>
      <c r="BB4" s="66"/>
    </row>
    <row r="5" spans="1:54" ht="15" x14ac:dyDescent="0.25">
      <c r="A5" s="51"/>
      <c r="B5" s="51" t="e">
        <f ca="1">OFFSET(B6,MATCH($D$3,$A$7:$A$115,1),0)+(OFFSET(B6,1+MATCH($D$3,$A$7:$A$115,1),0)-OFFSET(B6,MATCH($D$3,$A$7:$A$115,1),0))*($D$3-OFFSET($A$6,MATCH($D$3,$A$7:$A$115,1),0))/(OFFSET($A$6,1+MATCH($D$3,$A$7:$A$115,1),0)-OFFSET($A$6,MATCH($D$3,$A$7:$A$115,1),0))</f>
        <v>#DIV/0!</v>
      </c>
      <c r="C5" s="51" t="e">
        <f ca="1">OFFSET(C6,MATCH($D$3,$A$7:$A$115,1),0)+(OFFSET(C6,1+MATCH($D$3,$A$7:$A$115,1),0)-OFFSET(C6,MATCH($D$3,$A$7:$A$115,1),0))*($D$3-OFFSET($A$6,MATCH($D$3,$A$7:$A$115,1),0))/(OFFSET($A$6,1+MATCH($D$3,$A$7:$A$115,1),0)-OFFSET($A$6,MATCH($D$3,$A$7:$A$115,1),0))</f>
        <v>#DIV/0!</v>
      </c>
      <c r="D5" s="51" t="e">
        <f t="shared" ref="D5:I5" ca="1" si="0">OFFSET(D6,MATCH($D$3,$A$7:$A$115,1),0)+(OFFSET(D6,1+MATCH($D$3,$A$7:$A$115,1),0)-OFFSET(D6,MATCH($D$3,$A$7:$A$115,1),0))*($D$3-OFFSET($A$6,MATCH($D$3,$A$7:$A$115,1),0))/(OFFSET($A$6,1+MATCH($D$3,$A$7:$A$115,1),0)-OFFSET($A$6,MATCH($D$3,$A$7:$A$115,1),0))</f>
        <v>#DIV/0!</v>
      </c>
      <c r="E5" s="51" t="e">
        <f t="shared" ca="1" si="0"/>
        <v>#DIV/0!</v>
      </c>
      <c r="F5" s="51" t="e">
        <f t="shared" ca="1" si="0"/>
        <v>#DIV/0!</v>
      </c>
      <c r="G5" s="51" t="e">
        <f t="shared" ca="1" si="0"/>
        <v>#DIV/0!</v>
      </c>
      <c r="H5" s="51" t="e">
        <f t="shared" ca="1" si="0"/>
        <v>#DIV/0!</v>
      </c>
      <c r="I5" s="51" t="e">
        <f t="shared" ca="1" si="0"/>
        <v>#DIV/0!</v>
      </c>
      <c r="K5" s="66"/>
      <c r="L5" s="66" t="e">
        <f ca="1">OFFSET(L6,MATCH($D$3,$A$7:$A$115,1),0)+(OFFSET(L6,1+MATCH($D$3,$A$7:$A$115,1),0)-OFFSET(L6,MATCH($D$3,$A$7:$A$115,1),0))*($D$3-OFFSET($A$6,MATCH($D$3,$A$7:$A$115,1),0))/(OFFSET($A$6,1+MATCH($D$3,$A$7:$A$115,1),0)-OFFSET($A$6,MATCH($D$3,$A$7:$A$115,1),0))</f>
        <v>#DIV/0!</v>
      </c>
      <c r="M5" s="66" t="e">
        <f t="shared" ref="M5:T5" ca="1" si="1">OFFSET(M6,MATCH($D$3,$A$7:$A$115,1),0)+(OFFSET(M6,1+MATCH($D$3,$A$7:$A$115,1),0)-OFFSET(M6,MATCH($D$3,$A$7:$A$115,1),0))*($D$3-OFFSET($A$6,MATCH($D$3,$A$7:$A$115,1),0))/(OFFSET($A$6,1+MATCH($D$3,$A$7:$A$115,1),0)-OFFSET($A$6,MATCH($D$3,$A$7:$A$115,1),0))</f>
        <v>#DIV/0!</v>
      </c>
      <c r="N5" s="66" t="e">
        <f t="shared" ca="1" si="1"/>
        <v>#DIV/0!</v>
      </c>
      <c r="O5" s="66" t="e">
        <f t="shared" ca="1" si="1"/>
        <v>#DIV/0!</v>
      </c>
      <c r="P5" s="66" t="e">
        <f t="shared" ca="1" si="1"/>
        <v>#DIV/0!</v>
      </c>
      <c r="Q5" s="66" t="e">
        <f t="shared" ca="1" si="1"/>
        <v>#DIV/0!</v>
      </c>
      <c r="R5" s="66" t="e">
        <f t="shared" ca="1" si="1"/>
        <v>#DIV/0!</v>
      </c>
      <c r="S5" s="66" t="e">
        <f t="shared" ca="1" si="1"/>
        <v>#DIV/0!</v>
      </c>
      <c r="T5" s="66" t="e">
        <f t="shared" ca="1" si="1"/>
        <v>#DIV/0!</v>
      </c>
      <c r="W5" s="126" t="e">
        <f t="shared" ref="W5:AD5" ca="1" si="2">OFFSET(W6,MATCH($D$3,$A$7:$A$115,1),0)+(OFFSET(W6,1+MATCH($D$3,$A$7:$A$115,1),0)-OFFSET(W6,MATCH($D$3,$A$7:$A$115,1),0))*($D$3-OFFSET($A$6,MATCH($D$3,$A$7:$A$115,1),0))/(OFFSET($A$6,1+MATCH($D$3,$A$7:$A$115,1),0)-OFFSET($A$6,MATCH($D$3,$A$7:$A$115,1),0))</f>
        <v>#DIV/0!</v>
      </c>
      <c r="X5" s="126" t="e">
        <f t="shared" ca="1" si="2"/>
        <v>#DIV/0!</v>
      </c>
      <c r="Y5" s="126" t="e">
        <f t="shared" ca="1" si="2"/>
        <v>#DIV/0!</v>
      </c>
      <c r="Z5" s="126" t="e">
        <f t="shared" ca="1" si="2"/>
        <v>#DIV/0!</v>
      </c>
      <c r="AA5" s="126" t="e">
        <f t="shared" ca="1" si="2"/>
        <v>#DIV/0!</v>
      </c>
      <c r="AB5" s="126" t="e">
        <f t="shared" ca="1" si="2"/>
        <v>#DIV/0!</v>
      </c>
      <c r="AC5" s="126" t="e">
        <f t="shared" ca="1" si="2"/>
        <v>#DIV/0!</v>
      </c>
      <c r="AD5" s="126" t="e">
        <f t="shared" ca="1" si="2"/>
        <v>#DIV/0!</v>
      </c>
      <c r="AF5" s="112"/>
      <c r="AG5" s="112" t="e">
        <f ca="1">OFFSET(AG6,MATCH($D$3,$A$7:$A$115,1),0)+(OFFSET(AG6,1+MATCH($D$3,$A$7:$A$115,1),0)-OFFSET(AG6,MATCH($D$3,$A$7:$A$115,1),0))*($D$3-OFFSET($A$6,MATCH($D$3,$A$7:$A$115,1),0))/(OFFSET($A$6,1+MATCH($D$3,$A$7:$A$115,1),0)-OFFSET($A$6,MATCH($D$3,$A$7:$A$115,1),0))</f>
        <v>#DIV/0!</v>
      </c>
      <c r="AH5" s="112"/>
      <c r="AI5" s="114"/>
      <c r="AJ5" s="113"/>
      <c r="AK5" s="113" t="e">
        <f ca="1">OFFSET(AK6,MATCH($D$3,$A$7:$A$115,1),0)+(OFFSET(AK6,1+MATCH($D$3,$A$7:$A$115,1),0)-OFFSET(AK6,MATCH($D$3,$A$7:$A$115,1),0))*($D$3-OFFSET($A$6,MATCH($D$3,$A$7:$A$115,1),0))/(OFFSET($A$6,1+MATCH($D$3,$A$7:$A$115,1),0)-OFFSET($A$6,MATCH($D$3,$A$7:$A$115,1),0))</f>
        <v>#DIV/0!</v>
      </c>
      <c r="AL5" s="113"/>
      <c r="AN5" s="157"/>
      <c r="AO5" s="159" t="e">
        <f t="shared" ref="AO5:AT5" ca="1" si="3">OFFSET(AO6,MATCH($D$3,$A$7:$A$115,1),0)+(OFFSET(AO6,1+MATCH($D$3,$A$7:$A$115,1),0)-OFFSET(AO6,MATCH($D$3,$A$7:$A$115,1),0))*($D$3-OFFSET($A$6,MATCH($D$3,$A$7:$A$115,1),0))/(OFFSET($A$6,1+MATCH($D$3,$A$7:$A$115,1),0)-OFFSET($A$6,MATCH($D$3,$A$7:$A$115,1),0))</f>
        <v>#DIV/0!</v>
      </c>
      <c r="AP5" s="159" t="e">
        <f t="shared" ca="1" si="3"/>
        <v>#DIV/0!</v>
      </c>
      <c r="AQ5" s="159" t="e">
        <f t="shared" ca="1" si="3"/>
        <v>#DIV/0!</v>
      </c>
      <c r="AR5" s="159" t="e">
        <f t="shared" ca="1" si="3"/>
        <v>#DIV/0!</v>
      </c>
      <c r="AS5" s="159" t="e">
        <f t="shared" ca="1" si="3"/>
        <v>#DIV/0!</v>
      </c>
      <c r="AT5" s="159" t="e">
        <f t="shared" ca="1" si="3"/>
        <v>#DIV/0!</v>
      </c>
      <c r="AV5" s="66"/>
      <c r="AW5" s="66" t="e">
        <f t="shared" ref="AW5:BB5" ca="1" si="4">OFFSET(AW6,MATCH($D$3,$A$7:$A$115,1),0)+(OFFSET(AW6,1+MATCH($D$3,$A$7:$A$115,1),0)-OFFSET(AW6,MATCH($D$3,$A$7:$A$115,1),0))*($D$3-OFFSET($A$6,MATCH($D$3,$A$7:$A$115,1),0))/(OFFSET($A$6,1+MATCH($D$3,$A$7:$A$115,1),0)-OFFSET($A$6,MATCH($D$3,$A$7:$A$115,1),0))</f>
        <v>#DIV/0!</v>
      </c>
      <c r="AX5" s="66" t="e">
        <f t="shared" ca="1" si="4"/>
        <v>#DIV/0!</v>
      </c>
      <c r="AY5" s="66" t="e">
        <f t="shared" ca="1" si="4"/>
        <v>#DIV/0!</v>
      </c>
      <c r="AZ5" s="66" t="e">
        <f t="shared" ca="1" si="4"/>
        <v>#DIV/0!</v>
      </c>
      <c r="BA5" s="66" t="e">
        <f t="shared" ca="1" si="4"/>
        <v>#DIV/0!</v>
      </c>
      <c r="BB5" s="66" t="e">
        <f t="shared" ca="1" si="4"/>
        <v>#DIV/0!</v>
      </c>
    </row>
    <row r="6" spans="1:54" ht="15" x14ac:dyDescent="0.25">
      <c r="A6" s="127"/>
      <c r="B6" s="127">
        <v>5</v>
      </c>
      <c r="C6" s="127">
        <v>50</v>
      </c>
      <c r="D6" s="127">
        <v>100</v>
      </c>
      <c r="E6" s="127">
        <v>200</v>
      </c>
      <c r="F6" s="127">
        <v>500</v>
      </c>
      <c r="G6" s="127">
        <v>1000</v>
      </c>
      <c r="H6" s="127">
        <v>2000</v>
      </c>
      <c r="I6" s="127">
        <v>5000</v>
      </c>
      <c r="K6" s="66" t="s">
        <v>132</v>
      </c>
      <c r="L6" s="66">
        <v>5</v>
      </c>
      <c r="M6" s="66">
        <v>50</v>
      </c>
      <c r="N6" s="66">
        <v>100</v>
      </c>
      <c r="O6" s="66">
        <v>200</v>
      </c>
      <c r="P6" s="66">
        <v>500</v>
      </c>
      <c r="Q6" s="66">
        <v>1000</v>
      </c>
      <c r="R6" s="66">
        <v>2000</v>
      </c>
      <c r="S6" s="66">
        <v>5000</v>
      </c>
      <c r="T6" s="66" t="s">
        <v>133</v>
      </c>
      <c r="V6" s="126"/>
      <c r="W6" s="126">
        <v>5</v>
      </c>
      <c r="X6" s="126">
        <v>50</v>
      </c>
      <c r="Y6" s="126">
        <v>100</v>
      </c>
      <c r="Z6" s="126">
        <v>200</v>
      </c>
      <c r="AA6" s="126">
        <v>500</v>
      </c>
      <c r="AB6" s="126">
        <v>1000</v>
      </c>
      <c r="AC6" s="126">
        <v>2000</v>
      </c>
      <c r="AD6" s="126">
        <v>5000</v>
      </c>
      <c r="AF6" s="112" t="s">
        <v>132</v>
      </c>
      <c r="AG6" s="112">
        <v>50</v>
      </c>
      <c r="AH6" s="112"/>
      <c r="AI6" s="114"/>
      <c r="AJ6" s="113" t="s">
        <v>132</v>
      </c>
      <c r="AK6" s="113"/>
      <c r="AL6" s="113"/>
      <c r="AN6" s="157"/>
      <c r="AO6" s="157">
        <v>5</v>
      </c>
      <c r="AP6" s="157">
        <v>50</v>
      </c>
      <c r="AQ6" s="157">
        <v>100</v>
      </c>
      <c r="AR6" s="157">
        <v>200</v>
      </c>
      <c r="AS6" s="157">
        <v>500</v>
      </c>
      <c r="AT6" s="157">
        <v>1000</v>
      </c>
      <c r="AV6" s="66"/>
      <c r="AW6" s="66">
        <v>5</v>
      </c>
      <c r="AX6" s="66">
        <v>50</v>
      </c>
      <c r="AY6" s="66">
        <v>100</v>
      </c>
      <c r="AZ6" s="66">
        <v>200</v>
      </c>
      <c r="BA6" s="66">
        <v>500</v>
      </c>
      <c r="BB6" s="66">
        <v>1000</v>
      </c>
    </row>
    <row r="7" spans="1:54" ht="15" x14ac:dyDescent="0.25">
      <c r="A7" s="127">
        <v>0.01</v>
      </c>
      <c r="B7" s="127">
        <v>665.12667728851102</v>
      </c>
      <c r="C7" s="127">
        <v>729.54194041188305</v>
      </c>
      <c r="D7" s="127">
        <v>818.57519529731303</v>
      </c>
      <c r="E7" s="127">
        <v>983.65862119866301</v>
      </c>
      <c r="F7" s="127">
        <v>1455.1858140720201</v>
      </c>
      <c r="G7" s="127">
        <v>2254.3668649344299</v>
      </c>
      <c r="H7" s="127">
        <v>3916.88340881564</v>
      </c>
      <c r="I7" s="127">
        <v>8184.3864401159099</v>
      </c>
      <c r="K7" s="66">
        <v>0.01</v>
      </c>
      <c r="L7" s="66">
        <v>1182.9262923956201</v>
      </c>
      <c r="M7" s="66">
        <v>1296.8917579215799</v>
      </c>
      <c r="N7" s="66">
        <v>1422.02622031498</v>
      </c>
      <c r="O7" s="66">
        <v>1632.8631050803799</v>
      </c>
      <c r="P7" s="66">
        <v>2254.3668649344299</v>
      </c>
      <c r="Q7" s="66">
        <v>3257.9256386664701</v>
      </c>
      <c r="R7" s="66">
        <v>5046.0015907680399</v>
      </c>
      <c r="S7" s="66">
        <v>9839.0247147335995</v>
      </c>
      <c r="T7" s="66">
        <v>3333.8881364948602</v>
      </c>
      <c r="V7" s="126">
        <v>0.01</v>
      </c>
      <c r="W7" s="126">
        <v>5045.9839469999997</v>
      </c>
      <c r="X7" s="126">
        <v>5045.9839469999997</v>
      </c>
      <c r="Y7" s="126">
        <v>5046.44211</v>
      </c>
      <c r="Z7" s="126">
        <v>5046.44211</v>
      </c>
      <c r="AA7" s="126">
        <v>5046.0015910000002</v>
      </c>
      <c r="AB7" s="126">
        <v>6352.9192270000003</v>
      </c>
      <c r="AC7" s="126">
        <v>9396.5892609999992</v>
      </c>
      <c r="AD7" s="126">
        <v>15957.3022</v>
      </c>
      <c r="AF7" s="112">
        <v>0.01</v>
      </c>
      <c r="AG7" s="112">
        <v>353.13438615568901</v>
      </c>
      <c r="AH7" s="112"/>
      <c r="AI7" s="114"/>
      <c r="AJ7" s="113">
        <v>0.01</v>
      </c>
      <c r="AK7" s="113">
        <v>897.39325105067098</v>
      </c>
      <c r="AL7" s="113"/>
      <c r="AN7" s="157">
        <v>0.01</v>
      </c>
      <c r="AO7" s="157">
        <v>39171.589099999997</v>
      </c>
      <c r="AP7" s="157">
        <v>50462.182659999999</v>
      </c>
      <c r="AQ7" s="157">
        <v>63528.485000000001</v>
      </c>
      <c r="AR7" s="157">
        <v>91826.663809999998</v>
      </c>
      <c r="AS7" s="157">
        <v>174972.51259999999</v>
      </c>
      <c r="AT7" s="157">
        <v>311149.55239999999</v>
      </c>
      <c r="AV7" s="66">
        <v>0.01</v>
      </c>
      <c r="AW7" s="66">
        <v>23603.327815027202</v>
      </c>
      <c r="AX7" s="66">
        <v>30406.9819811425</v>
      </c>
      <c r="AY7" s="66">
        <v>39171.589102403799</v>
      </c>
      <c r="AZ7" s="66">
        <v>56620.195002105997</v>
      </c>
      <c r="BA7" s="66">
        <v>107886.640577645</v>
      </c>
      <c r="BB7" s="66">
        <v>196321.91794280999</v>
      </c>
    </row>
    <row r="8" spans="1:54" ht="15" x14ac:dyDescent="0.25">
      <c r="A8" s="127">
        <v>0.02</v>
      </c>
      <c r="B8" s="127">
        <v>650.26161656773297</v>
      </c>
      <c r="C8" s="127">
        <v>712.81874710100794</v>
      </c>
      <c r="D8" s="127">
        <v>800.02649575783596</v>
      </c>
      <c r="E8" s="127">
        <v>961.40018175129001</v>
      </c>
      <c r="F8" s="127">
        <v>1422.19210096302</v>
      </c>
      <c r="G8" s="127">
        <v>2203.0433112093201</v>
      </c>
      <c r="H8" s="127">
        <v>3827.9836818275098</v>
      </c>
      <c r="I8" s="127">
        <v>7997.9483246660302</v>
      </c>
      <c r="K8" s="66">
        <v>0.02</v>
      </c>
      <c r="L8" s="66">
        <v>1156.2930586042201</v>
      </c>
      <c r="M8" s="66">
        <v>1267.7810140100601</v>
      </c>
      <c r="N8" s="66">
        <v>1358.3423518961099</v>
      </c>
      <c r="O8" s="66">
        <v>1595.7657060014201</v>
      </c>
      <c r="P8" s="66">
        <v>2203.0433112093201</v>
      </c>
      <c r="Q8" s="66">
        <v>3183.6897841712298</v>
      </c>
      <c r="R8" s="66">
        <v>4931.4400869173596</v>
      </c>
      <c r="S8" s="66">
        <v>9839.0247147335995</v>
      </c>
      <c r="T8" s="66">
        <v>3333.8881364948602</v>
      </c>
      <c r="V8" s="126">
        <v>0.02</v>
      </c>
      <c r="W8" s="126">
        <v>5045.9839469999997</v>
      </c>
      <c r="X8" s="126">
        <v>5045.9839469999997</v>
      </c>
      <c r="Y8" s="126">
        <v>5046.44211</v>
      </c>
      <c r="Z8" s="126">
        <v>5046.44211</v>
      </c>
      <c r="AA8" s="126">
        <v>5046.0015910000002</v>
      </c>
      <c r="AB8" s="126">
        <v>6208.1134860000002</v>
      </c>
      <c r="AC8" s="126">
        <v>8974.0864349999993</v>
      </c>
      <c r="AD8" s="126">
        <v>15594.5247</v>
      </c>
      <c r="AF8" s="112">
        <v>0.02</v>
      </c>
      <c r="AG8" s="112">
        <v>353.13438615568901</v>
      </c>
      <c r="AH8" s="112"/>
      <c r="AI8" s="114"/>
      <c r="AJ8" s="113">
        <v>0.02</v>
      </c>
      <c r="AK8" s="113">
        <v>876.95379255960097</v>
      </c>
      <c r="AL8" s="113"/>
      <c r="AN8" s="157">
        <v>0.02</v>
      </c>
      <c r="AO8" s="157">
        <v>38279.471769999996</v>
      </c>
      <c r="AP8" s="157">
        <v>48191.197619999999</v>
      </c>
      <c r="AQ8" s="157">
        <v>62082.185310000001</v>
      </c>
      <c r="AR8" s="157">
        <v>89736.272459999993</v>
      </c>
      <c r="AS8" s="157">
        <v>170988.83259999999</v>
      </c>
      <c r="AT8" s="157">
        <v>304066.72759999998</v>
      </c>
      <c r="AV8" s="66">
        <v>0.02</v>
      </c>
      <c r="AW8" s="66">
        <v>23066.1972229655</v>
      </c>
      <c r="AX8" s="66">
        <v>29714.835345195701</v>
      </c>
      <c r="AY8" s="66">
        <v>38279.4717698452</v>
      </c>
      <c r="AZ8" s="66">
        <v>55331.236597201801</v>
      </c>
      <c r="BA8" s="66">
        <v>105431.40085422101</v>
      </c>
      <c r="BB8" s="66">
        <v>191852.90478214301</v>
      </c>
    </row>
    <row r="9" spans="1:54" ht="15" x14ac:dyDescent="0.25">
      <c r="A9" s="127">
        <v>0.03</v>
      </c>
      <c r="B9" s="127">
        <v>635.39655584695504</v>
      </c>
      <c r="C9" s="127">
        <v>696.71493132016496</v>
      </c>
      <c r="D9" s="127">
        <v>781.47779621835798</v>
      </c>
      <c r="E9" s="127">
        <v>939.76003228856598</v>
      </c>
      <c r="F9" s="127">
        <v>1390.1148798848201</v>
      </c>
      <c r="G9" s="127">
        <v>2152.6362495150202</v>
      </c>
      <c r="H9" s="127">
        <v>3740.9169389009799</v>
      </c>
      <c r="I9" s="127">
        <v>7815.3943366213598</v>
      </c>
      <c r="K9" s="66">
        <v>0.03</v>
      </c>
      <c r="L9" s="66">
        <v>1156.2930586042201</v>
      </c>
      <c r="M9" s="66">
        <v>1238.67027009854</v>
      </c>
      <c r="N9" s="66">
        <v>1327.4278526636499</v>
      </c>
      <c r="O9" s="66">
        <v>1559.2865969071199</v>
      </c>
      <c r="P9" s="66">
        <v>2152.6362495150202</v>
      </c>
      <c r="Q9" s="66">
        <v>3111.2869137375901</v>
      </c>
      <c r="R9" s="66">
        <v>4818.71156712828</v>
      </c>
      <c r="S9" s="66">
        <v>9396.2341905401299</v>
      </c>
      <c r="T9" s="66">
        <v>3333.8881364948602</v>
      </c>
      <c r="V9" s="126">
        <v>0.03</v>
      </c>
      <c r="W9" s="126">
        <v>5045.9839469999997</v>
      </c>
      <c r="X9" s="126">
        <v>5045.9839469999997</v>
      </c>
      <c r="Y9" s="126">
        <v>5046.44211</v>
      </c>
      <c r="Z9" s="126">
        <v>5046.44211</v>
      </c>
      <c r="AA9" s="126">
        <v>5046.0015910000002</v>
      </c>
      <c r="AB9" s="126">
        <v>5928.5834160000004</v>
      </c>
      <c r="AC9" s="126">
        <v>8769.7087119999997</v>
      </c>
      <c r="AD9" s="126">
        <v>15239.515460000001</v>
      </c>
      <c r="AF9" s="112">
        <v>0.03</v>
      </c>
      <c r="AG9" s="112">
        <v>345.09606615072101</v>
      </c>
      <c r="AH9" s="112"/>
      <c r="AI9" s="114"/>
      <c r="AJ9" s="113">
        <v>0.03</v>
      </c>
      <c r="AK9" s="113">
        <v>857.13371159856297</v>
      </c>
      <c r="AL9" s="113"/>
      <c r="AN9" s="157">
        <v>0.03</v>
      </c>
      <c r="AO9" s="157">
        <v>37408.281600000002</v>
      </c>
      <c r="AP9" s="157">
        <v>47094.459110000003</v>
      </c>
      <c r="AQ9" s="157">
        <v>60669.214070000002</v>
      </c>
      <c r="AR9" s="157">
        <v>85697.329429999998</v>
      </c>
      <c r="AS9" s="157">
        <v>163293.08720000001</v>
      </c>
      <c r="AT9" s="157">
        <v>297145.16629999998</v>
      </c>
      <c r="AV9" s="66">
        <v>0.03</v>
      </c>
      <c r="AW9" s="66">
        <v>22540.692834195201</v>
      </c>
      <c r="AX9" s="66">
        <v>29714.835345195701</v>
      </c>
      <c r="AY9" s="66">
        <v>37408.281603211202</v>
      </c>
      <c r="AZ9" s="66">
        <v>54071.731240635701</v>
      </c>
      <c r="BA9" s="66">
        <v>103031.65227442799</v>
      </c>
      <c r="BB9" s="66">
        <v>187486.02513529599</v>
      </c>
    </row>
    <row r="10" spans="1:54" ht="15" x14ac:dyDescent="0.25">
      <c r="A10" s="127">
        <v>0.04</v>
      </c>
      <c r="B10" s="127">
        <v>635.39655584695504</v>
      </c>
      <c r="C10" s="127">
        <v>680.61111553932199</v>
      </c>
      <c r="D10" s="127">
        <v>763.54738666353001</v>
      </c>
      <c r="E10" s="127">
        <v>918.11988282584298</v>
      </c>
      <c r="F10" s="127">
        <v>1358.0376588066299</v>
      </c>
      <c r="G10" s="127">
        <v>2104.0621718823199</v>
      </c>
      <c r="H10" s="127">
        <v>3655.6831800360701</v>
      </c>
      <c r="I10" s="127">
        <v>7637.5013014629303</v>
      </c>
      <c r="K10" s="66">
        <v>0.04</v>
      </c>
      <c r="L10" s="66">
        <v>1129.65982481283</v>
      </c>
      <c r="M10" s="66">
        <v>1210.79828124708</v>
      </c>
      <c r="N10" s="66">
        <v>1297.13164341583</v>
      </c>
      <c r="O10" s="66">
        <v>1524.04406778211</v>
      </c>
      <c r="P10" s="66">
        <v>2104.0621718823199</v>
      </c>
      <c r="Q10" s="66">
        <v>3040.7170273655702</v>
      </c>
      <c r="R10" s="66">
        <v>4709.6490154624198</v>
      </c>
      <c r="S10" s="66">
        <v>9182.6071832538091</v>
      </c>
      <c r="T10" s="66">
        <v>3333.8881364948602</v>
      </c>
      <c r="V10" s="126">
        <v>0.04</v>
      </c>
      <c r="W10" s="126">
        <v>5045.9839469999997</v>
      </c>
      <c r="X10" s="126">
        <v>5045.9839469999997</v>
      </c>
      <c r="Y10" s="126">
        <v>5046.44211</v>
      </c>
      <c r="Z10" s="126">
        <v>5046.44211</v>
      </c>
      <c r="AA10" s="126">
        <v>5046.0015910000002</v>
      </c>
      <c r="AB10" s="126">
        <v>5793.8590880000002</v>
      </c>
      <c r="AC10" s="126">
        <v>8569.9134489999997</v>
      </c>
      <c r="AD10" s="126">
        <v>14892.27447</v>
      </c>
      <c r="AF10" s="112">
        <v>0.04</v>
      </c>
      <c r="AG10" s="112">
        <v>345.09606615072101</v>
      </c>
      <c r="AH10" s="112"/>
      <c r="AI10" s="114"/>
      <c r="AJ10" s="113">
        <v>0.04</v>
      </c>
      <c r="AK10" s="113">
        <v>837.31363063752497</v>
      </c>
      <c r="AL10" s="113"/>
      <c r="AN10" s="157">
        <v>0.04</v>
      </c>
      <c r="AO10" s="157">
        <v>36556.468439999997</v>
      </c>
      <c r="AP10" s="157">
        <v>46022.523159999997</v>
      </c>
      <c r="AQ10" s="157">
        <v>59288.021119999998</v>
      </c>
      <c r="AR10" s="157">
        <v>83747.227599999998</v>
      </c>
      <c r="AS10" s="157">
        <v>159576.15410000001</v>
      </c>
      <c r="AT10" s="157">
        <v>290381.50870000001</v>
      </c>
      <c r="AV10" s="66">
        <v>0.04</v>
      </c>
      <c r="AW10" s="66">
        <v>22027.5897289356</v>
      </c>
      <c r="AX10" s="66">
        <v>29714.835345195701</v>
      </c>
      <c r="AY10" s="66">
        <v>36556.468442062796</v>
      </c>
      <c r="AZ10" s="66">
        <v>52840.903852188298</v>
      </c>
      <c r="BA10" s="66">
        <v>100685.447780594</v>
      </c>
      <c r="BB10" s="66">
        <v>183218.59127822201</v>
      </c>
    </row>
    <row r="11" spans="1:54" ht="15" x14ac:dyDescent="0.25">
      <c r="A11" s="127">
        <v>0.05</v>
      </c>
      <c r="B11" s="127">
        <v>620.53149512617699</v>
      </c>
      <c r="C11" s="127">
        <v>680.61111553932199</v>
      </c>
      <c r="D11" s="127">
        <v>746.23526709335101</v>
      </c>
      <c r="E11" s="127">
        <v>897.09802334776805</v>
      </c>
      <c r="F11" s="127">
        <v>1326.8769297592401</v>
      </c>
      <c r="G11" s="127">
        <v>2055.4880942496302</v>
      </c>
      <c r="H11" s="127">
        <v>3572.2824052327701</v>
      </c>
      <c r="I11" s="127">
        <v>7464.2692191907499</v>
      </c>
      <c r="K11" s="66">
        <v>0.05</v>
      </c>
      <c r="L11" s="66">
        <v>1104.2653460815</v>
      </c>
      <c r="M11" s="66">
        <v>1182.9262923956201</v>
      </c>
      <c r="N11" s="66">
        <v>1267.45372415267</v>
      </c>
      <c r="O11" s="66">
        <v>1455.4138794860401</v>
      </c>
      <c r="P11" s="66">
        <v>2055.4880942496302</v>
      </c>
      <c r="Q11" s="66">
        <v>2971.0636330243501</v>
      </c>
      <c r="R11" s="66">
        <v>4602.4194478581703</v>
      </c>
      <c r="S11" s="66">
        <v>8973.6411288537292</v>
      </c>
      <c r="T11" s="66">
        <v>3333.8881364948602</v>
      </c>
      <c r="V11" s="126">
        <v>0.05</v>
      </c>
      <c r="W11" s="126">
        <v>5045.9839469999997</v>
      </c>
      <c r="X11" s="126">
        <v>5045.9839469999997</v>
      </c>
      <c r="Y11" s="126">
        <v>5046.44211</v>
      </c>
      <c r="Z11" s="126">
        <v>5046.44211</v>
      </c>
      <c r="AA11" s="126">
        <v>5046.0015910000002</v>
      </c>
      <c r="AB11" s="126">
        <v>5661.8842350000004</v>
      </c>
      <c r="AC11" s="126">
        <v>8374.7006469999997</v>
      </c>
      <c r="AD11" s="126">
        <v>14892.27447</v>
      </c>
      <c r="AF11" s="112">
        <v>0.05</v>
      </c>
      <c r="AG11" s="112">
        <v>337.24072064791301</v>
      </c>
      <c r="AH11" s="112"/>
      <c r="AI11" s="114"/>
      <c r="AJ11" s="113">
        <v>0.05</v>
      </c>
      <c r="AK11" s="113">
        <v>818.11292720652</v>
      </c>
      <c r="AL11" s="113"/>
      <c r="AN11" s="157">
        <v>0.05</v>
      </c>
      <c r="AO11" s="157">
        <v>34911.748220000001</v>
      </c>
      <c r="AP11" s="157">
        <v>44974.614710000002</v>
      </c>
      <c r="AQ11" s="157">
        <v>56620.195</v>
      </c>
      <c r="AR11" s="157">
        <v>81840.53026</v>
      </c>
      <c r="AS11" s="157">
        <v>155943.91800000001</v>
      </c>
      <c r="AT11" s="157">
        <v>277311.77860000002</v>
      </c>
      <c r="AV11" s="66">
        <v>0.05</v>
      </c>
      <c r="AW11" s="66">
        <v>21526.112826967401</v>
      </c>
      <c r="AX11" s="66">
        <v>29038.190313637399</v>
      </c>
      <c r="AY11" s="66">
        <v>35724.807366619498</v>
      </c>
      <c r="AZ11" s="66">
        <v>51637.979351640199</v>
      </c>
      <c r="BA11" s="66">
        <v>98393.760901553993</v>
      </c>
      <c r="BB11" s="66">
        <v>179047.91548687301</v>
      </c>
    </row>
    <row r="12" spans="1:54" ht="15" x14ac:dyDescent="0.25">
      <c r="A12" s="127">
        <v>0.06</v>
      </c>
      <c r="B12" s="127">
        <v>620.53149512617699</v>
      </c>
      <c r="C12" s="127">
        <v>665.12667728851102</v>
      </c>
      <c r="D12" s="127">
        <v>729.541437507821</v>
      </c>
      <c r="E12" s="127">
        <v>876.69445385434301</v>
      </c>
      <c r="F12" s="127">
        <v>1296.6326927426601</v>
      </c>
      <c r="G12" s="127">
        <v>2008.74700067855</v>
      </c>
      <c r="H12" s="127">
        <v>3490.7146144910798</v>
      </c>
      <c r="I12" s="127">
        <v>7127.90378589992</v>
      </c>
      <c r="K12" s="66">
        <v>0.06</v>
      </c>
      <c r="L12" s="66">
        <v>1104.2653460815</v>
      </c>
      <c r="M12" s="66">
        <v>1156.2930586042201</v>
      </c>
      <c r="N12" s="66">
        <v>1239.0123848588</v>
      </c>
      <c r="O12" s="66">
        <v>1422.02622031498</v>
      </c>
      <c r="P12" s="66">
        <v>2008.74700067855</v>
      </c>
      <c r="Q12" s="66">
        <v>2904.1597147755401</v>
      </c>
      <c r="R12" s="66">
        <v>4602.4194478581703</v>
      </c>
      <c r="S12" s="66">
        <v>8769.3360273399103</v>
      </c>
      <c r="T12" s="66">
        <v>3333.8881364948602</v>
      </c>
      <c r="V12" s="126">
        <v>0.06</v>
      </c>
      <c r="W12" s="126">
        <v>5045.9839469999997</v>
      </c>
      <c r="X12" s="126">
        <v>5045.9839469999997</v>
      </c>
      <c r="Y12" s="126">
        <v>5046.44211</v>
      </c>
      <c r="Z12" s="126">
        <v>5046.44211</v>
      </c>
      <c r="AA12" s="126">
        <v>5046.0015910000002</v>
      </c>
      <c r="AB12" s="126">
        <v>5532.6588590000001</v>
      </c>
      <c r="AC12" s="126">
        <v>8184.0703039999999</v>
      </c>
      <c r="AD12" s="126">
        <v>14892.27447</v>
      </c>
      <c r="AF12" s="112">
        <v>0.06</v>
      </c>
      <c r="AG12" s="112">
        <v>329.564184639102</v>
      </c>
      <c r="AH12" s="112"/>
      <c r="AI12" s="114"/>
      <c r="AJ12" s="113">
        <v>0.06</v>
      </c>
      <c r="AK12" s="113">
        <v>799.53160130554704</v>
      </c>
      <c r="AL12" s="113"/>
      <c r="AN12" s="157">
        <v>0.06</v>
      </c>
      <c r="AO12" s="157">
        <v>34116.515910000002</v>
      </c>
      <c r="AP12" s="157">
        <v>43950.733740000003</v>
      </c>
      <c r="AQ12" s="157">
        <v>55331.236599999997</v>
      </c>
      <c r="AR12" s="157">
        <v>79978.012489999994</v>
      </c>
      <c r="AS12" s="157">
        <v>152394.4319</v>
      </c>
      <c r="AT12" s="157">
        <v>270999.65870000003</v>
      </c>
      <c r="AV12" s="66">
        <v>0.06</v>
      </c>
      <c r="AW12" s="66">
        <v>21036.262128290698</v>
      </c>
      <c r="AX12" s="66">
        <v>28377.0468864676</v>
      </c>
      <c r="AY12" s="66">
        <v>34911.748216442298</v>
      </c>
      <c r="AZ12" s="66">
        <v>50462.182658772101</v>
      </c>
      <c r="BA12" s="66">
        <v>96154.644579637505</v>
      </c>
      <c r="BB12" s="66">
        <v>174971.98196821299</v>
      </c>
    </row>
    <row r="13" spans="1:54" ht="15" x14ac:dyDescent="0.25">
      <c r="A13" s="127">
        <v>7.0000000000000007E-2</v>
      </c>
      <c r="B13" s="127">
        <v>606.90518946546297</v>
      </c>
      <c r="C13" s="127">
        <v>650.26161656773297</v>
      </c>
      <c r="D13" s="127">
        <v>712.84760792229099</v>
      </c>
      <c r="E13" s="127">
        <v>856.90917434556695</v>
      </c>
      <c r="F13" s="127">
        <v>1267.30494775688</v>
      </c>
      <c r="G13" s="127">
        <v>1962.9223991382701</v>
      </c>
      <c r="H13" s="127">
        <v>3333.9944772233298</v>
      </c>
      <c r="I13" s="127">
        <v>6965.5472603623202</v>
      </c>
      <c r="K13" s="66">
        <v>7.0000000000000007E-2</v>
      </c>
      <c r="L13" s="66">
        <v>1078.8708673501701</v>
      </c>
      <c r="M13" s="66">
        <v>1129.65982481283</v>
      </c>
      <c r="N13" s="66">
        <v>1210.5710455649401</v>
      </c>
      <c r="O13" s="66">
        <v>1389.87514111322</v>
      </c>
      <c r="P13" s="66">
        <v>1962.9223991382701</v>
      </c>
      <c r="Q13" s="66">
        <v>2838.17228855755</v>
      </c>
      <c r="R13" s="66">
        <v>4602.4194478581703</v>
      </c>
      <c r="S13" s="66">
        <v>8569.6918787123304</v>
      </c>
      <c r="T13" s="66">
        <v>3333.8881364948602</v>
      </c>
      <c r="V13" s="126">
        <v>7.0000000000000007E-2</v>
      </c>
      <c r="W13" s="126">
        <v>5045.9839469999997</v>
      </c>
      <c r="X13" s="126">
        <v>5045.9839469999997</v>
      </c>
      <c r="Y13" s="126">
        <v>5046.44211</v>
      </c>
      <c r="Z13" s="126">
        <v>5046.44211</v>
      </c>
      <c r="AA13" s="126">
        <v>5046.0015910000002</v>
      </c>
      <c r="AB13" s="126">
        <v>5407.099451</v>
      </c>
      <c r="AC13" s="126">
        <v>7998.022422</v>
      </c>
      <c r="AD13" s="126">
        <v>14892.27447</v>
      </c>
      <c r="AF13" s="112">
        <v>7.0000000000000007E-2</v>
      </c>
      <c r="AG13" s="112">
        <v>329.564184639102</v>
      </c>
      <c r="AH13" s="112"/>
      <c r="AI13" s="114"/>
      <c r="AJ13" s="113">
        <v>7.0000000000000007E-2</v>
      </c>
      <c r="AK13" s="113">
        <v>781.56965293460701</v>
      </c>
      <c r="AL13" s="113"/>
      <c r="AN13" s="157">
        <v>7.0000000000000007E-2</v>
      </c>
      <c r="AO13" s="157">
        <v>33339.88553</v>
      </c>
      <c r="AP13" s="157">
        <v>42950.880250000002</v>
      </c>
      <c r="AQ13" s="157">
        <v>54071.731240000001</v>
      </c>
      <c r="AR13" s="157">
        <v>78157.349059999993</v>
      </c>
      <c r="AS13" s="157">
        <v>148925.74859999999</v>
      </c>
      <c r="AT13" s="157">
        <v>264830.66009999998</v>
      </c>
      <c r="AV13" s="66">
        <v>7.0000000000000007E-2</v>
      </c>
      <c r="AW13" s="66">
        <v>20557.262552685799</v>
      </c>
      <c r="AX13" s="66">
        <v>27731.405063686401</v>
      </c>
      <c r="AY13" s="66">
        <v>34116.515911312003</v>
      </c>
      <c r="AZ13" s="66">
        <v>49313.5137735838</v>
      </c>
      <c r="BA13" s="66">
        <v>93965.178228337405</v>
      </c>
      <c r="BB13" s="66">
        <v>170989.44686021801</v>
      </c>
    </row>
    <row r="14" spans="1:54" ht="15" x14ac:dyDescent="0.25">
      <c r="A14" s="127">
        <v>0.08</v>
      </c>
      <c r="B14" s="127">
        <v>606.90518946546297</v>
      </c>
      <c r="C14" s="127">
        <v>635.39655584695504</v>
      </c>
      <c r="D14" s="127">
        <v>696.77206832141098</v>
      </c>
      <c r="E14" s="127">
        <v>837.74218482143999</v>
      </c>
      <c r="F14" s="127">
        <v>1238.89369480191</v>
      </c>
      <c r="G14" s="127">
        <v>1918.9307816596099</v>
      </c>
      <c r="H14" s="127">
        <v>3257.9256386664701</v>
      </c>
      <c r="I14" s="127">
        <v>6965.5472603623202</v>
      </c>
      <c r="K14" s="66">
        <v>0.08</v>
      </c>
      <c r="L14" s="66">
        <v>1054.0957661488701</v>
      </c>
      <c r="M14" s="66">
        <v>1129.65982481283</v>
      </c>
      <c r="N14" s="66">
        <v>1182.74799625572</v>
      </c>
      <c r="O14" s="66">
        <v>1358.3423518961099</v>
      </c>
      <c r="P14" s="66">
        <v>1874.93916418094</v>
      </c>
      <c r="Q14" s="66">
        <v>2773.1013543703498</v>
      </c>
      <c r="R14" s="66">
        <v>4497.0228643155397</v>
      </c>
      <c r="S14" s="66">
        <v>8374.7086829710006</v>
      </c>
      <c r="T14" s="66">
        <v>3333.8881364948602</v>
      </c>
      <c r="V14" s="126">
        <v>0.08</v>
      </c>
      <c r="W14" s="126">
        <v>5045.9839469999997</v>
      </c>
      <c r="X14" s="126">
        <v>5045.9839469999997</v>
      </c>
      <c r="Y14" s="126">
        <v>5046.44211</v>
      </c>
      <c r="Z14" s="126">
        <v>5046.44211</v>
      </c>
      <c r="AA14" s="126">
        <v>5046.0015910000002</v>
      </c>
      <c r="AB14" s="126">
        <v>5164.2290629999998</v>
      </c>
      <c r="AC14" s="126">
        <v>7998.022422</v>
      </c>
      <c r="AD14" s="126">
        <v>14892.27447</v>
      </c>
      <c r="AF14" s="112">
        <v>0.08</v>
      </c>
      <c r="AG14" s="112">
        <v>322.06238792328401</v>
      </c>
      <c r="AH14" s="112"/>
      <c r="AI14" s="114"/>
      <c r="AJ14" s="113">
        <v>0.08</v>
      </c>
      <c r="AK14" s="113">
        <v>763.60770456366697</v>
      </c>
      <c r="AL14" s="113"/>
      <c r="AN14" s="157">
        <v>0.08</v>
      </c>
      <c r="AO14" s="157">
        <v>32581.081999999999</v>
      </c>
      <c r="AP14" s="157">
        <v>41017.830190000001</v>
      </c>
      <c r="AQ14" s="157">
        <v>52840.903850000002</v>
      </c>
      <c r="AR14" s="157">
        <v>74639.259940000004</v>
      </c>
      <c r="AS14" s="157">
        <v>142223.00260000001</v>
      </c>
      <c r="AT14" s="157">
        <v>258802.76699999999</v>
      </c>
      <c r="AV14" s="66">
        <v>0.08</v>
      </c>
      <c r="AW14" s="66">
        <v>20089.114100152899</v>
      </c>
      <c r="AX14" s="66">
        <v>27099.7146848548</v>
      </c>
      <c r="AY14" s="66">
        <v>33339.885531447799</v>
      </c>
      <c r="AZ14" s="66">
        <v>48191.197615855897</v>
      </c>
      <c r="BA14" s="66">
        <v>91826.335376489194</v>
      </c>
      <c r="BB14" s="66">
        <v>167096.95050782801</v>
      </c>
    </row>
    <row r="15" spans="1:54" ht="15" x14ac:dyDescent="0.25">
      <c r="A15" s="127">
        <v>0.09</v>
      </c>
      <c r="B15" s="127">
        <v>606.90518946546297</v>
      </c>
      <c r="C15" s="127">
        <v>635.39655584695504</v>
      </c>
      <c r="D15" s="127">
        <v>680.69652872052995</v>
      </c>
      <c r="E15" s="127">
        <v>818.57519529731303</v>
      </c>
      <c r="F15" s="127">
        <v>1238.89369480191</v>
      </c>
      <c r="G15" s="127">
        <v>1874.93916418094</v>
      </c>
      <c r="H15" s="127">
        <v>3183.6897841712298</v>
      </c>
      <c r="I15" s="127">
        <v>6807.0748622299197</v>
      </c>
      <c r="K15" s="66">
        <v>0.09</v>
      </c>
      <c r="L15" s="66">
        <v>1030.55942000764</v>
      </c>
      <c r="M15" s="66">
        <v>1104.2653460815</v>
      </c>
      <c r="N15" s="66">
        <v>1156.1615269158001</v>
      </c>
      <c r="O15" s="66">
        <v>1327.4278526636499</v>
      </c>
      <c r="P15" s="66">
        <v>1831.86403873308</v>
      </c>
      <c r="Q15" s="66">
        <v>2709.8634042447702</v>
      </c>
      <c r="R15" s="66">
        <v>4395.2922488961303</v>
      </c>
      <c r="S15" s="66">
        <v>8184.3864401159099</v>
      </c>
      <c r="T15" s="66">
        <v>3333.8881364948602</v>
      </c>
      <c r="V15" s="126">
        <v>0.09</v>
      </c>
      <c r="W15" s="126">
        <v>5045.9839469999997</v>
      </c>
      <c r="X15" s="126">
        <v>5045.9839469999997</v>
      </c>
      <c r="Y15" s="126">
        <v>5046.44211</v>
      </c>
      <c r="Z15" s="126">
        <v>5046.44211</v>
      </c>
      <c r="AA15" s="126">
        <v>5046.0015910000002</v>
      </c>
      <c r="AB15" s="126">
        <v>5046.0015910000002</v>
      </c>
      <c r="AC15" s="126">
        <v>7815.6405080000004</v>
      </c>
      <c r="AD15" s="126">
        <v>14892.27447</v>
      </c>
      <c r="AF15" s="112">
        <v>0.09</v>
      </c>
      <c r="AG15" s="112">
        <v>314.731352948542</v>
      </c>
      <c r="AH15" s="112"/>
      <c r="AI15" s="114"/>
      <c r="AJ15" s="113">
        <v>0.09</v>
      </c>
      <c r="AK15" s="113">
        <v>746.26513372275895</v>
      </c>
      <c r="AL15" s="113"/>
      <c r="AN15" s="157">
        <v>0.09</v>
      </c>
      <c r="AO15" s="157">
        <v>31839.33023</v>
      </c>
      <c r="AP15" s="157">
        <v>40083.858520000002</v>
      </c>
      <c r="AQ15" s="157">
        <v>51637.979350000001</v>
      </c>
      <c r="AR15" s="157">
        <v>72940.284100000004</v>
      </c>
      <c r="AS15" s="157">
        <v>138985.04569999999</v>
      </c>
      <c r="AT15" s="157">
        <v>252911.94779999999</v>
      </c>
      <c r="AV15" s="66">
        <v>0.09</v>
      </c>
      <c r="AW15" s="66">
        <v>19631.816770691999</v>
      </c>
      <c r="AX15" s="66">
        <v>26482.750830192199</v>
      </c>
      <c r="AY15" s="66">
        <v>32581.081996630499</v>
      </c>
      <c r="AZ15" s="66">
        <v>47094.459105369097</v>
      </c>
      <c r="BA15" s="66">
        <v>89736.168966421901</v>
      </c>
      <c r="BB15" s="66">
        <v>159576.69862176699</v>
      </c>
    </row>
    <row r="16" spans="1:54" ht="15" x14ac:dyDescent="0.25">
      <c r="A16" s="127">
        <v>0.1</v>
      </c>
      <c r="B16" s="127">
        <v>606.90518946546297</v>
      </c>
      <c r="C16" s="127">
        <v>620.53149512617699</v>
      </c>
      <c r="D16" s="127">
        <v>665.23927910429904</v>
      </c>
      <c r="E16" s="127">
        <v>800.02649575783596</v>
      </c>
      <c r="F16" s="127">
        <v>1210.48244184694</v>
      </c>
      <c r="G16" s="127">
        <v>1831.86403873308</v>
      </c>
      <c r="H16" s="127">
        <v>3111.2869137375901</v>
      </c>
      <c r="I16" s="127">
        <v>6501.0056226997003</v>
      </c>
      <c r="K16" s="66">
        <v>0.1</v>
      </c>
      <c r="L16" s="66">
        <v>1007.02307386641</v>
      </c>
      <c r="M16" s="66">
        <v>1078.8708673501701</v>
      </c>
      <c r="N16" s="66">
        <v>1156.1615269158001</v>
      </c>
      <c r="O16" s="66">
        <v>1297.13164341583</v>
      </c>
      <c r="P16" s="66">
        <v>1790.6218973468399</v>
      </c>
      <c r="Q16" s="66">
        <v>2648.4584381807999</v>
      </c>
      <c r="R16" s="66">
        <v>4295.3946175383198</v>
      </c>
      <c r="S16" s="66">
        <v>7997.9483246660302</v>
      </c>
      <c r="T16" s="66">
        <v>3333.8881364948602</v>
      </c>
      <c r="V16" s="126">
        <v>0.1</v>
      </c>
      <c r="W16" s="126">
        <v>5045.9839469999997</v>
      </c>
      <c r="X16" s="126">
        <v>5045.9839469999997</v>
      </c>
      <c r="Y16" s="126">
        <v>5046.44211</v>
      </c>
      <c r="Z16" s="126">
        <v>5046.44211</v>
      </c>
      <c r="AA16" s="126">
        <v>5046.0015910000002</v>
      </c>
      <c r="AB16" s="126">
        <v>5046.0015910000002</v>
      </c>
      <c r="AC16" s="126">
        <v>7637.8410540000004</v>
      </c>
      <c r="AD16" s="126">
        <v>14892.27447</v>
      </c>
      <c r="AF16" s="112">
        <v>0.1</v>
      </c>
      <c r="AG16" s="112">
        <v>314.731352948542</v>
      </c>
      <c r="AH16" s="112"/>
      <c r="AI16" s="114"/>
      <c r="AJ16" s="113">
        <v>0.1</v>
      </c>
      <c r="AK16" s="113">
        <v>729.54194041188305</v>
      </c>
      <c r="AL16" s="113"/>
      <c r="AN16" s="157">
        <v>0.1</v>
      </c>
      <c r="AO16" s="157">
        <v>30406.98198</v>
      </c>
      <c r="AP16" s="157">
        <v>40083.858520000002</v>
      </c>
      <c r="AQ16" s="157">
        <v>49313.513769999998</v>
      </c>
      <c r="AR16" s="157">
        <v>71280.062269999995</v>
      </c>
      <c r="AS16" s="157">
        <v>135822.05050000001</v>
      </c>
      <c r="AT16" s="157">
        <v>241528.76449999999</v>
      </c>
      <c r="AV16" s="66">
        <v>0.1</v>
      </c>
      <c r="AW16" s="66">
        <v>18748.225320547201</v>
      </c>
      <c r="AX16" s="66">
        <v>25880.513499698802</v>
      </c>
      <c r="AY16" s="66">
        <v>31839.330226640501</v>
      </c>
      <c r="AZ16" s="66">
        <v>46022.523161903999</v>
      </c>
      <c r="BA16" s="66">
        <v>87693.705469299806</v>
      </c>
      <c r="BB16" s="66">
        <v>155944.23957101299</v>
      </c>
    </row>
    <row r="17" spans="1:54" ht="15" x14ac:dyDescent="0.25">
      <c r="A17" s="127">
        <v>0.2</v>
      </c>
      <c r="B17" s="127">
        <v>504.70789701011302</v>
      </c>
      <c r="C17" s="127">
        <v>540.631793751994</v>
      </c>
      <c r="D17" s="127">
        <v>579.29697123805295</v>
      </c>
      <c r="E17" s="127">
        <v>649.78202948806802</v>
      </c>
      <c r="F17" s="127">
        <v>897.042167311453</v>
      </c>
      <c r="G17" s="127">
        <v>1390.1148798848201</v>
      </c>
      <c r="H17" s="127">
        <v>2360.67994050787</v>
      </c>
      <c r="I17" s="127">
        <v>5046.0114967095897</v>
      </c>
      <c r="K17" s="66">
        <v>0.2</v>
      </c>
      <c r="L17" s="66">
        <v>763.60770456366697</v>
      </c>
      <c r="M17" s="66">
        <v>818.11292720652</v>
      </c>
      <c r="N17" s="66">
        <v>876.69445385434301</v>
      </c>
      <c r="O17" s="66">
        <v>1030.0303700473601</v>
      </c>
      <c r="P17" s="66">
        <v>1358.0376588066299</v>
      </c>
      <c r="Q17" s="66">
        <v>1962.9223991382701</v>
      </c>
      <c r="R17" s="66">
        <v>3257.9256386664701</v>
      </c>
      <c r="S17" s="66">
        <v>6208.1424163471802</v>
      </c>
      <c r="T17" s="66">
        <v>3333.8881364948602</v>
      </c>
      <c r="V17" s="126">
        <v>0.2</v>
      </c>
      <c r="W17" s="126">
        <v>4197.4367309999998</v>
      </c>
      <c r="X17" s="126">
        <v>4197.4367309999998</v>
      </c>
      <c r="Y17" s="126">
        <v>4295.219779</v>
      </c>
      <c r="Z17" s="126">
        <v>4497.4006040000004</v>
      </c>
      <c r="AA17" s="126">
        <v>5046.0015910000002</v>
      </c>
      <c r="AB17" s="126">
        <v>5046.0015910000002</v>
      </c>
      <c r="AC17" s="126">
        <v>5928.5834160000004</v>
      </c>
      <c r="AD17" s="126">
        <v>11560.46998</v>
      </c>
      <c r="AF17" s="112">
        <v>0.2</v>
      </c>
      <c r="AG17" s="112">
        <v>255.82324807018901</v>
      </c>
      <c r="AH17" s="112"/>
      <c r="AI17" s="114"/>
      <c r="AJ17" s="113">
        <v>0.2</v>
      </c>
      <c r="AK17" s="113">
        <v>620.53149512617699</v>
      </c>
      <c r="AL17" s="113"/>
      <c r="AN17" s="157">
        <v>0.2</v>
      </c>
      <c r="AO17" s="157">
        <v>27731.405060000001</v>
      </c>
      <c r="AP17" s="157">
        <v>30406.98198</v>
      </c>
      <c r="AQ17" s="157">
        <v>38279.471769999996</v>
      </c>
      <c r="AR17" s="157">
        <v>52840.903850000002</v>
      </c>
      <c r="AS17" s="157">
        <v>100685.44779999999</v>
      </c>
      <c r="AT17" s="157">
        <v>179047.9155</v>
      </c>
      <c r="AV17" s="66">
        <v>0.2</v>
      </c>
      <c r="AW17" s="66">
        <v>14553.491173017501</v>
      </c>
      <c r="AX17" s="66">
        <v>19631.816770691999</v>
      </c>
      <c r="AY17" s="66">
        <v>25291.452532935498</v>
      </c>
      <c r="AZ17" s="66">
        <v>34911.748216442298</v>
      </c>
      <c r="BA17" s="66">
        <v>66522.373881161097</v>
      </c>
      <c r="BB17" s="66">
        <v>118295.94496987099</v>
      </c>
    </row>
    <row r="18" spans="1:54" ht="15" x14ac:dyDescent="0.25">
      <c r="A18" s="127">
        <v>0.3</v>
      </c>
      <c r="B18" s="127">
        <v>409.94313491515197</v>
      </c>
      <c r="C18" s="127">
        <v>439.67325635670898</v>
      </c>
      <c r="D18" s="127">
        <v>471.09622392443401</v>
      </c>
      <c r="E18" s="127">
        <v>540.96299218980005</v>
      </c>
      <c r="F18" s="127">
        <v>746.73747425934801</v>
      </c>
      <c r="G18" s="127">
        <v>1054.6787966100001</v>
      </c>
      <c r="H18" s="127">
        <v>1790.6218973468399</v>
      </c>
      <c r="I18" s="127">
        <v>3917.28407275677</v>
      </c>
      <c r="K18" s="66">
        <v>0.3</v>
      </c>
      <c r="L18" s="66">
        <v>620.53149512617699</v>
      </c>
      <c r="M18" s="66">
        <v>650.26161656773297</v>
      </c>
      <c r="N18" s="66">
        <v>680.69652872052995</v>
      </c>
      <c r="O18" s="66">
        <v>781.47779621835798</v>
      </c>
      <c r="P18" s="66">
        <v>1078.50758941095</v>
      </c>
      <c r="Q18" s="66">
        <v>1523.9227163824301</v>
      </c>
      <c r="R18" s="66">
        <v>2529.3144741760798</v>
      </c>
      <c r="S18" s="66">
        <v>5046.0114967095897</v>
      </c>
      <c r="T18" s="66">
        <v>3333.8881364948602</v>
      </c>
      <c r="V18" s="126">
        <v>0.3</v>
      </c>
      <c r="W18" s="126">
        <v>4102.0525909999997</v>
      </c>
      <c r="X18" s="126">
        <v>4102.0525909999997</v>
      </c>
      <c r="Y18" s="126">
        <v>4101.6950139999999</v>
      </c>
      <c r="Z18" s="126">
        <v>4197.5299610000002</v>
      </c>
      <c r="AA18" s="126">
        <v>4197.3299699999998</v>
      </c>
      <c r="AB18" s="126">
        <v>4395.2922490000001</v>
      </c>
      <c r="AC18" s="126">
        <v>5046.0015910000002</v>
      </c>
      <c r="AD18" s="126">
        <v>8569.691879</v>
      </c>
      <c r="AF18" s="112">
        <v>0.3</v>
      </c>
      <c r="AG18" s="112">
        <v>203.207629041025</v>
      </c>
      <c r="AH18" s="112"/>
      <c r="AI18" s="114"/>
      <c r="AJ18" s="113">
        <v>0.3</v>
      </c>
      <c r="AK18" s="113">
        <v>528.24424315134502</v>
      </c>
      <c r="AL18" s="113"/>
      <c r="AN18" s="157">
        <v>0.3</v>
      </c>
      <c r="AO18" s="157">
        <v>20557.262549999999</v>
      </c>
      <c r="AP18" s="157">
        <v>27731.405060000001</v>
      </c>
      <c r="AQ18" s="157">
        <v>29714.835350000001</v>
      </c>
      <c r="AR18" s="157">
        <v>40083.858520000002</v>
      </c>
      <c r="AS18" s="157">
        <v>76378.379809999999</v>
      </c>
      <c r="AT18" s="157">
        <v>135821.24960000001</v>
      </c>
      <c r="AV18" s="66">
        <v>0.3</v>
      </c>
      <c r="AW18" s="66">
        <v>11297.3791712118</v>
      </c>
      <c r="AX18" s="66">
        <v>14892.2012289063</v>
      </c>
      <c r="AY18" s="66">
        <v>19185.370564303099</v>
      </c>
      <c r="AZ18" s="66">
        <v>27731.405063686401</v>
      </c>
      <c r="BA18" s="66">
        <v>50462.068680005803</v>
      </c>
      <c r="BB18" s="66">
        <v>89736.189236747203</v>
      </c>
    </row>
    <row r="19" spans="1:54" ht="15" x14ac:dyDescent="0.25">
      <c r="A19" s="127">
        <v>0.4</v>
      </c>
      <c r="B19" s="127">
        <v>333.14032119113102</v>
      </c>
      <c r="C19" s="127">
        <v>357.296044862396</v>
      </c>
      <c r="D19" s="127">
        <v>374.02469633450198</v>
      </c>
      <c r="E19" s="127">
        <v>419.77815519854698</v>
      </c>
      <c r="F19" s="127">
        <v>566.18854419065997</v>
      </c>
      <c r="G19" s="127">
        <v>837.47018530909395</v>
      </c>
      <c r="H19" s="127">
        <v>1326.8769297592401</v>
      </c>
      <c r="I19" s="127">
        <v>2837.49665410955</v>
      </c>
      <c r="K19" s="66">
        <v>0.4</v>
      </c>
      <c r="L19" s="66">
        <v>540.631793751994</v>
      </c>
      <c r="M19" s="66">
        <v>579.65257814403697</v>
      </c>
      <c r="N19" s="66">
        <v>620.72240020955303</v>
      </c>
      <c r="O19" s="66">
        <v>665.23927910429904</v>
      </c>
      <c r="P19" s="66">
        <v>818.22385266217805</v>
      </c>
      <c r="Q19" s="66">
        <v>1210.48244184694</v>
      </c>
      <c r="R19" s="66">
        <v>1918.9307816596099</v>
      </c>
      <c r="S19" s="66">
        <v>4101.3917117635301</v>
      </c>
      <c r="T19" s="66">
        <v>3257.7592393528198</v>
      </c>
      <c r="V19" s="126">
        <v>0.4</v>
      </c>
      <c r="W19" s="126">
        <v>4102.0525909999997</v>
      </c>
      <c r="X19" s="126">
        <v>4102.0525909999997</v>
      </c>
      <c r="Y19" s="126">
        <v>4101.6950139999999</v>
      </c>
      <c r="Z19" s="126">
        <v>4101.6950139999999</v>
      </c>
      <c r="AA19" s="126">
        <v>4197.3299699999998</v>
      </c>
      <c r="AB19" s="126">
        <v>4295.3946180000003</v>
      </c>
      <c r="AC19" s="126">
        <v>4602.4194479999996</v>
      </c>
      <c r="AD19" s="126">
        <v>6965.5472600000003</v>
      </c>
      <c r="AF19" s="112">
        <v>0.4</v>
      </c>
      <c r="AG19" s="112">
        <v>147.210913838897</v>
      </c>
      <c r="AH19" s="112"/>
      <c r="AI19" s="114"/>
      <c r="AJ19" s="113">
        <v>0.4</v>
      </c>
      <c r="AK19" s="113">
        <v>419.85317539567097</v>
      </c>
      <c r="AL19" s="113"/>
      <c r="AN19" s="157">
        <v>0.4</v>
      </c>
      <c r="AO19" s="157">
        <v>15957.936530000001</v>
      </c>
      <c r="AP19" s="157">
        <v>20557.262549999999</v>
      </c>
      <c r="AQ19" s="157">
        <v>26482.750830000001</v>
      </c>
      <c r="AR19" s="157">
        <v>31114.630219999999</v>
      </c>
      <c r="AS19" s="157">
        <v>57938.770140000001</v>
      </c>
      <c r="AT19" s="157">
        <v>103031.0162</v>
      </c>
      <c r="AV19" s="66">
        <v>0.4</v>
      </c>
      <c r="AW19" s="66">
        <v>9615.4550950589091</v>
      </c>
      <c r="AX19" s="66">
        <v>11560.131365597001</v>
      </c>
      <c r="AY19" s="66">
        <v>14553.491173017501</v>
      </c>
      <c r="AZ19" s="66">
        <v>20557.262552685799</v>
      </c>
      <c r="BA19" s="66">
        <v>37408.020523232299</v>
      </c>
      <c r="BB19" s="66">
        <v>66522.316634922303</v>
      </c>
    </row>
    <row r="20" spans="1:54" ht="15" x14ac:dyDescent="0.25">
      <c r="A20" s="127">
        <v>0.5</v>
      </c>
      <c r="B20" s="127">
        <v>258.81501758723999</v>
      </c>
      <c r="C20" s="127">
        <v>271.20256818788903</v>
      </c>
      <c r="D20" s="127">
        <v>290.55554840685301</v>
      </c>
      <c r="E20" s="127">
        <v>325.79807753185997</v>
      </c>
      <c r="F20" s="127">
        <v>419.54981926177697</v>
      </c>
      <c r="G20" s="127">
        <v>592.76681308401999</v>
      </c>
      <c r="H20" s="127">
        <v>961.19660946783904</v>
      </c>
      <c r="I20" s="127">
        <v>2056.0102201821301</v>
      </c>
      <c r="K20" s="66">
        <v>0.5</v>
      </c>
      <c r="L20" s="66">
        <v>429.76321587618997</v>
      </c>
      <c r="M20" s="66">
        <v>449.58329683722701</v>
      </c>
      <c r="N20" s="66">
        <v>481.60715366347199</v>
      </c>
      <c r="O20" s="66">
        <v>528.59719249681496</v>
      </c>
      <c r="P20" s="66">
        <v>696.33041256504396</v>
      </c>
      <c r="Q20" s="66">
        <v>918.12148401998002</v>
      </c>
      <c r="R20" s="66">
        <v>1455.1858140720201</v>
      </c>
      <c r="S20" s="66">
        <v>3041.0249301423401</v>
      </c>
      <c r="T20" s="66">
        <v>3111.7160489170801</v>
      </c>
      <c r="V20" s="126">
        <v>0.5</v>
      </c>
      <c r="W20" s="126">
        <v>4102.0525909999997</v>
      </c>
      <c r="X20" s="126">
        <v>4102.0525909999997</v>
      </c>
      <c r="Y20" s="126">
        <v>4101.6950139999999</v>
      </c>
      <c r="Z20" s="126">
        <v>4101.6950139999999</v>
      </c>
      <c r="AA20" s="126">
        <v>4197.3299699999998</v>
      </c>
      <c r="AB20" s="126">
        <v>4295.3946180000003</v>
      </c>
      <c r="AC20" s="126">
        <v>4602.4194479999996</v>
      </c>
      <c r="AD20" s="126">
        <v>5283.7200940000002</v>
      </c>
      <c r="AF20" s="112">
        <v>0.5</v>
      </c>
      <c r="AG20" s="112">
        <v>106.64487970039799</v>
      </c>
      <c r="AH20" s="112"/>
      <c r="AI20" s="114"/>
      <c r="AJ20" s="113">
        <v>0.5</v>
      </c>
      <c r="AK20" s="113">
        <v>333.14032119113102</v>
      </c>
      <c r="AL20" s="113"/>
      <c r="AN20" s="157">
        <v>0.5</v>
      </c>
      <c r="AO20" s="157">
        <v>12387.141960000001</v>
      </c>
      <c r="AP20" s="157">
        <v>15594.42391</v>
      </c>
      <c r="AQ20" s="157">
        <v>19185.370559999999</v>
      </c>
      <c r="AR20" s="157">
        <v>27731.405060000001</v>
      </c>
      <c r="AS20" s="157">
        <v>41972.897230000002</v>
      </c>
      <c r="AT20" s="157">
        <v>74639.243260000003</v>
      </c>
      <c r="AV20" s="66">
        <v>0.5</v>
      </c>
      <c r="AW20" s="66">
        <v>7637.4503750855501</v>
      </c>
      <c r="AX20" s="66">
        <v>9396.88247318098</v>
      </c>
      <c r="AY20" s="66">
        <v>10788.9265472688</v>
      </c>
      <c r="AZ20" s="66">
        <v>14892.2012289063</v>
      </c>
      <c r="BA20" s="66">
        <v>28377.567044059298</v>
      </c>
      <c r="BB20" s="66">
        <v>48191.366697143501</v>
      </c>
    </row>
    <row r="21" spans="1:54" ht="15" x14ac:dyDescent="0.25">
      <c r="A21" s="127">
        <v>0.6</v>
      </c>
      <c r="B21" s="127">
        <v>196.25788705396599</v>
      </c>
      <c r="C21" s="127">
        <v>205.54855000445201</v>
      </c>
      <c r="D21" s="127">
        <v>220.07049015683901</v>
      </c>
      <c r="E21" s="127">
        <v>241.71063961956199</v>
      </c>
      <c r="F21" s="127">
        <v>318.73569587316899</v>
      </c>
      <c r="G21" s="127">
        <v>429.63123160063702</v>
      </c>
      <c r="H21" s="127">
        <v>680.75004804135006</v>
      </c>
      <c r="I21" s="127">
        <v>1455.5241233373099</v>
      </c>
      <c r="K21" s="66">
        <v>0.6</v>
      </c>
      <c r="L21" s="66">
        <v>341.19222908155302</v>
      </c>
      <c r="M21" s="66">
        <v>357.296044862396</v>
      </c>
      <c r="N21" s="66">
        <v>374.02469633450198</v>
      </c>
      <c r="O21" s="66">
        <v>409.88551544415901</v>
      </c>
      <c r="P21" s="66">
        <v>528.61237092763395</v>
      </c>
      <c r="Q21" s="66">
        <v>729.32412567404299</v>
      </c>
      <c r="R21" s="66">
        <v>1129.8311431360601</v>
      </c>
      <c r="S21" s="66">
        <v>2254.1007178476302</v>
      </c>
      <c r="T21" s="66">
        <v>2306.9248505584301</v>
      </c>
      <c r="V21" s="126">
        <v>0.6</v>
      </c>
      <c r="W21" s="126">
        <v>4102.0525909999997</v>
      </c>
      <c r="X21" s="126">
        <v>4102.0525909999997</v>
      </c>
      <c r="Y21" s="126">
        <v>4101.6950139999999</v>
      </c>
      <c r="Z21" s="126">
        <v>4101.6950139999999</v>
      </c>
      <c r="AA21" s="126">
        <v>4197.3299699999998</v>
      </c>
      <c r="AB21" s="126">
        <v>4295.3946180000003</v>
      </c>
      <c r="AC21" s="126">
        <v>4602.4194479999996</v>
      </c>
      <c r="AD21" s="126">
        <v>5046.0114970000004</v>
      </c>
      <c r="AF21" s="112">
        <v>0.6</v>
      </c>
      <c r="AG21" s="112">
        <v>82.782780370647799</v>
      </c>
      <c r="AH21" s="112"/>
      <c r="AI21" s="114"/>
      <c r="AJ21" s="113">
        <v>0.6</v>
      </c>
      <c r="AK21" s="113">
        <v>252.62124228691599</v>
      </c>
      <c r="AL21" s="113"/>
      <c r="AN21" s="157">
        <v>0.6</v>
      </c>
      <c r="AO21" s="157">
        <v>10068.87702</v>
      </c>
      <c r="AP21" s="157">
        <v>12387.141960000001</v>
      </c>
      <c r="AQ21" s="157">
        <v>14892.201230000001</v>
      </c>
      <c r="AR21" s="157">
        <v>20557.262549999999</v>
      </c>
      <c r="AS21" s="157">
        <v>31839.435580000001</v>
      </c>
      <c r="AT21" s="157">
        <v>54071.434979999998</v>
      </c>
      <c r="AV21" s="66">
        <v>0.6</v>
      </c>
      <c r="AW21" s="66">
        <v>6652.3234161959999</v>
      </c>
      <c r="AX21" s="66">
        <v>7815.7188255533702</v>
      </c>
      <c r="AY21" s="66">
        <v>8769.0674954464903</v>
      </c>
      <c r="AZ21" s="66">
        <v>11040.052538362601</v>
      </c>
      <c r="BA21" s="66">
        <v>20089.916066461301</v>
      </c>
      <c r="BB21" s="66">
        <v>34117.099720246901</v>
      </c>
    </row>
    <row r="22" spans="1:54" ht="15" x14ac:dyDescent="0.25">
      <c r="A22" s="127">
        <v>0.7</v>
      </c>
      <c r="B22" s="127">
        <v>155.998347601858</v>
      </c>
      <c r="C22" s="127">
        <v>163.430877962247</v>
      </c>
      <c r="D22" s="127">
        <v>171.225581369548</v>
      </c>
      <c r="E22" s="127">
        <v>191.62915086297301</v>
      </c>
      <c r="F22" s="127">
        <v>247.24931747033901</v>
      </c>
      <c r="G22" s="127">
        <v>333.39956836605802</v>
      </c>
      <c r="H22" s="127">
        <v>516.69797452716205</v>
      </c>
      <c r="I22" s="127">
        <v>1078.76376503234</v>
      </c>
      <c r="K22" s="66">
        <v>0.7</v>
      </c>
      <c r="L22" s="66">
        <v>277.39634348821301</v>
      </c>
      <c r="M22" s="66">
        <v>283.59011878853698</v>
      </c>
      <c r="N22" s="66">
        <v>297.35673823799499</v>
      </c>
      <c r="O22" s="66">
        <v>325.79807753185997</v>
      </c>
      <c r="P22" s="66">
        <v>401.219978645666</v>
      </c>
      <c r="Q22" s="66">
        <v>553.35765575938296</v>
      </c>
      <c r="R22" s="66">
        <v>837.47018530909395</v>
      </c>
      <c r="S22" s="66">
        <v>1709.54605563777</v>
      </c>
      <c r="T22" s="66">
        <v>1790.3359056660499</v>
      </c>
      <c r="V22" s="126">
        <v>0.7</v>
      </c>
      <c r="W22" s="126">
        <v>3334.0244539999999</v>
      </c>
      <c r="X22" s="126">
        <v>3334.0244539999999</v>
      </c>
      <c r="Y22" s="126">
        <v>3411.683391</v>
      </c>
      <c r="Z22" s="126">
        <v>3411.683391</v>
      </c>
      <c r="AA22" s="126">
        <v>3490.714614</v>
      </c>
      <c r="AB22" s="126">
        <v>3572.2824049999999</v>
      </c>
      <c r="AC22" s="126">
        <v>3740.9169390000002</v>
      </c>
      <c r="AD22" s="126">
        <v>5046.0114970000004</v>
      </c>
      <c r="AF22" s="112">
        <v>0.7</v>
      </c>
      <c r="AG22" s="112">
        <v>68.855717583454194</v>
      </c>
      <c r="AH22" s="112"/>
      <c r="AI22" s="114"/>
      <c r="AJ22" s="113">
        <v>0.7</v>
      </c>
      <c r="AK22" s="113">
        <v>200.593529764192</v>
      </c>
      <c r="AL22" s="113"/>
      <c r="AN22" s="157">
        <v>0.7</v>
      </c>
      <c r="AO22" s="157">
        <v>10068.87702</v>
      </c>
      <c r="AP22" s="157">
        <v>10068.87702</v>
      </c>
      <c r="AQ22" s="157">
        <v>12105.01276</v>
      </c>
      <c r="AR22" s="157">
        <v>15957.936530000001</v>
      </c>
      <c r="AS22" s="157">
        <v>29714.222140000002</v>
      </c>
      <c r="AT22" s="157">
        <v>40083.847110000002</v>
      </c>
      <c r="AV22" s="66">
        <v>0.7</v>
      </c>
      <c r="AW22" s="66">
        <v>5406.7695035795496</v>
      </c>
      <c r="AX22" s="66">
        <v>6965.4558248438198</v>
      </c>
      <c r="AY22" s="66">
        <v>8183.8819297803902</v>
      </c>
      <c r="AZ22" s="66">
        <v>9839.4532784728199</v>
      </c>
      <c r="BA22" s="66">
        <v>15239.7954074229</v>
      </c>
      <c r="BB22" s="66">
        <v>27100.124162157899</v>
      </c>
    </row>
    <row r="23" spans="1:54" ht="15" x14ac:dyDescent="0.25">
      <c r="A23" s="127">
        <v>0.8</v>
      </c>
      <c r="B23" s="127">
        <v>132.462001460626</v>
      </c>
      <c r="C23" s="127">
        <v>139.27515429098199</v>
      </c>
      <c r="D23" s="127">
        <v>145.25740201427899</v>
      </c>
      <c r="E23" s="127">
        <v>159.478071661212</v>
      </c>
      <c r="F23" s="127">
        <v>206.00717608408999</v>
      </c>
      <c r="G23" s="127">
        <v>277.49355448692103</v>
      </c>
      <c r="H23" s="127">
        <v>419.54981926177697</v>
      </c>
      <c r="I23" s="127">
        <v>876.78913996164101</v>
      </c>
      <c r="K23" s="66">
        <v>0.8</v>
      </c>
      <c r="L23" s="66">
        <v>225.36863096548899</v>
      </c>
      <c r="M23" s="66">
        <v>235.898048976041</v>
      </c>
      <c r="N23" s="66">
        <v>247.27524948140601</v>
      </c>
      <c r="O23" s="66">
        <v>270.77026889807701</v>
      </c>
      <c r="P23" s="66">
        <v>333.39956836605802</v>
      </c>
      <c r="Q23" s="66">
        <v>439.71264393949798</v>
      </c>
      <c r="R23" s="66">
        <v>650.50581102476804</v>
      </c>
      <c r="S23" s="66">
        <v>1358.4209382071699</v>
      </c>
      <c r="T23" s="66">
        <v>1389.4939574488101</v>
      </c>
      <c r="V23" s="126">
        <v>0.8</v>
      </c>
      <c r="W23" s="126">
        <v>1267.7810139999999</v>
      </c>
      <c r="X23" s="126">
        <v>1296.891758</v>
      </c>
      <c r="Y23" s="126">
        <v>1327.4278529999999</v>
      </c>
      <c r="Z23" s="126">
        <v>1389.875141</v>
      </c>
      <c r="AA23" s="126">
        <v>1559.6659059999999</v>
      </c>
      <c r="AB23" s="126">
        <v>1831.864039</v>
      </c>
      <c r="AC23" s="126">
        <v>2306.6069109999999</v>
      </c>
      <c r="AD23" s="126">
        <v>3917.2840729999998</v>
      </c>
      <c r="AF23" s="112">
        <v>0.8</v>
      </c>
      <c r="AG23" s="112">
        <v>61.367722892125798</v>
      </c>
      <c r="AH23" s="112"/>
      <c r="AI23" s="114"/>
      <c r="AJ23" s="113">
        <v>0.8</v>
      </c>
      <c r="AK23" s="113">
        <v>163.430877962247</v>
      </c>
      <c r="AL23" s="113"/>
      <c r="AN23" s="157">
        <v>0.8</v>
      </c>
      <c r="AO23" s="157">
        <v>8973.6886730000006</v>
      </c>
      <c r="AP23" s="157">
        <v>10068.87702</v>
      </c>
      <c r="AQ23" s="157">
        <v>10068.87702</v>
      </c>
      <c r="AR23" s="157">
        <v>13582.31566</v>
      </c>
      <c r="AS23" s="157">
        <v>23065.993719999999</v>
      </c>
      <c r="AT23" s="157">
        <v>31839.925520000001</v>
      </c>
      <c r="AV23" s="66">
        <v>0.8</v>
      </c>
      <c r="AW23" s="66">
        <v>4295.3044689236704</v>
      </c>
      <c r="AX23" s="66">
        <v>5533.1075793458704</v>
      </c>
      <c r="AY23" s="66">
        <v>6965.4558248438198</v>
      </c>
      <c r="AZ23" s="66">
        <v>8183.8819297803902</v>
      </c>
      <c r="BA23" s="66">
        <v>13581.8758003691</v>
      </c>
      <c r="BB23" s="66">
        <v>22027.716952734099</v>
      </c>
    </row>
    <row r="24" spans="1:54" ht="15" x14ac:dyDescent="0.25">
      <c r="A24" s="127">
        <v>0.9</v>
      </c>
      <c r="B24" s="127">
        <v>118.21631826988001</v>
      </c>
      <c r="C24" s="127">
        <v>121.31320592004199</v>
      </c>
      <c r="D24" s="127">
        <v>126.708702474802</v>
      </c>
      <c r="E24" s="127">
        <v>139.07450216778699</v>
      </c>
      <c r="F24" s="127">
        <v>174.84644703670301</v>
      </c>
      <c r="G24" s="127">
        <v>241.75036528550601</v>
      </c>
      <c r="H24" s="127">
        <v>365.47678944425098</v>
      </c>
      <c r="I24" s="127">
        <v>764.14944521067196</v>
      </c>
      <c r="K24" s="66">
        <v>0.9</v>
      </c>
      <c r="L24" s="66">
        <v>196.25788705396599</v>
      </c>
      <c r="M24" s="66">
        <v>205.54855000445201</v>
      </c>
      <c r="N24" s="66">
        <v>210.17785040245101</v>
      </c>
      <c r="O24" s="66">
        <v>230.581419895876</v>
      </c>
      <c r="P24" s="66">
        <v>283.90899870255998</v>
      </c>
      <c r="Q24" s="66">
        <v>365.47678944425098</v>
      </c>
      <c r="R24" s="66">
        <v>553.35765575938296</v>
      </c>
      <c r="S24" s="66">
        <v>1130.0342467810599</v>
      </c>
      <c r="T24" s="66">
        <v>1155.66948765542</v>
      </c>
      <c r="V24" s="126">
        <v>0.9</v>
      </c>
      <c r="W24" s="126">
        <v>1104.2653459999999</v>
      </c>
      <c r="X24" s="126">
        <v>1104.2653459999999</v>
      </c>
      <c r="Y24" s="126">
        <v>1129.5750579999999</v>
      </c>
      <c r="Z24" s="126">
        <v>1156.161527</v>
      </c>
      <c r="AA24" s="126">
        <v>1267.304948</v>
      </c>
      <c r="AB24" s="126">
        <v>1422.1921010000001</v>
      </c>
      <c r="AC24" s="126">
        <v>1709.970599</v>
      </c>
      <c r="AD24" s="126">
        <v>3183.9608189999999</v>
      </c>
      <c r="AF24" s="112">
        <v>0.9</v>
      </c>
      <c r="AG24" s="112">
        <v>55.968028464208501</v>
      </c>
      <c r="AH24" s="112"/>
      <c r="AI24" s="114"/>
      <c r="AJ24" s="113">
        <v>0.9</v>
      </c>
      <c r="AK24" s="113">
        <v>145.46892959130699</v>
      </c>
      <c r="AL24" s="113"/>
      <c r="AN24" s="157">
        <v>0.9</v>
      </c>
      <c r="AO24" s="157">
        <v>7997.8626770000001</v>
      </c>
      <c r="AP24" s="157">
        <v>9396.8824729999997</v>
      </c>
      <c r="AQ24" s="157">
        <v>10068.87702</v>
      </c>
      <c r="AR24" s="157">
        <v>11829.859280000001</v>
      </c>
      <c r="AS24" s="157">
        <v>18321.987700000001</v>
      </c>
      <c r="AT24" s="157">
        <v>29714.60773</v>
      </c>
      <c r="AV24" s="66">
        <v>0.9</v>
      </c>
      <c r="AW24" s="66">
        <v>3572.1546241998699</v>
      </c>
      <c r="AX24" s="66">
        <v>4602.2362358160899</v>
      </c>
      <c r="AY24" s="66">
        <v>5661.7708957704699</v>
      </c>
      <c r="AZ24" s="66">
        <v>7997.8626771183199</v>
      </c>
      <c r="BA24" s="66">
        <v>11297.0036231786</v>
      </c>
      <c r="BB24" s="66">
        <v>18748.693614280201</v>
      </c>
    </row>
    <row r="25" spans="1:54" ht="15" x14ac:dyDescent="0.25">
      <c r="A25" s="127">
        <v>1</v>
      </c>
      <c r="B25" s="127">
        <v>107.68690025932899</v>
      </c>
      <c r="C25" s="127">
        <v>113.261298029621</v>
      </c>
      <c r="D25" s="127">
        <v>118.052642689712</v>
      </c>
      <c r="E25" s="127">
        <v>126.708702474802</v>
      </c>
      <c r="F25" s="127">
        <v>159.266082513009</v>
      </c>
      <c r="G25" s="127">
        <v>220.67104857697899</v>
      </c>
      <c r="H25" s="127">
        <v>333.39956836605802</v>
      </c>
      <c r="I25" s="127">
        <v>681.02911873926701</v>
      </c>
      <c r="K25" s="66">
        <v>1</v>
      </c>
      <c r="L25" s="66">
        <v>175.199051032863</v>
      </c>
      <c r="M25" s="66">
        <v>178.91531621305799</v>
      </c>
      <c r="N25" s="66">
        <v>187.301120970428</v>
      </c>
      <c r="O25" s="66">
        <v>205.84982050990601</v>
      </c>
      <c r="P25" s="66">
        <v>247.24931747033901</v>
      </c>
      <c r="Q25" s="66">
        <v>326.06763211961402</v>
      </c>
      <c r="R25" s="66">
        <v>481.87127735655201</v>
      </c>
      <c r="S25" s="66">
        <v>983.99105634532202</v>
      </c>
      <c r="T25" s="66">
        <v>1006.51899529552</v>
      </c>
      <c r="V25" s="126">
        <v>1</v>
      </c>
      <c r="W25" s="126">
        <v>781.56965290000005</v>
      </c>
      <c r="X25" s="126">
        <v>781.56965290000005</v>
      </c>
      <c r="Y25" s="126">
        <v>800.02649580000002</v>
      </c>
      <c r="Z25" s="126">
        <v>837.74218480000002</v>
      </c>
      <c r="AA25" s="126">
        <v>939.20080069999995</v>
      </c>
      <c r="AB25" s="126">
        <v>1078.5075890000001</v>
      </c>
      <c r="AC25" s="126">
        <v>1422.1921010000001</v>
      </c>
      <c r="AD25" s="126">
        <v>2647.9512370000002</v>
      </c>
      <c r="AF25" s="112">
        <v>1</v>
      </c>
      <c r="AG25" s="112">
        <v>52.232403271350996</v>
      </c>
      <c r="AH25" s="112"/>
      <c r="AI25" s="114"/>
      <c r="AJ25" s="113">
        <v>1</v>
      </c>
      <c r="AK25" s="113">
        <v>132.462001460626</v>
      </c>
      <c r="AL25" s="113"/>
      <c r="AN25" s="157">
        <v>1</v>
      </c>
      <c r="AO25" s="157">
        <v>7997.8626770000001</v>
      </c>
      <c r="AP25" s="157">
        <v>8183.8819299999996</v>
      </c>
      <c r="AQ25" s="157">
        <v>9839.4532780000009</v>
      </c>
      <c r="AR25" s="157">
        <v>10302.95125</v>
      </c>
      <c r="AS25" s="157">
        <v>15957.28616</v>
      </c>
      <c r="AT25" s="157">
        <v>27731.06738</v>
      </c>
      <c r="AV25" s="66">
        <v>1</v>
      </c>
      <c r="AW25" s="66">
        <v>3183.8394342677998</v>
      </c>
      <c r="AX25" s="66">
        <v>4008.5247877363099</v>
      </c>
      <c r="AY25" s="66">
        <v>4931.64532907184</v>
      </c>
      <c r="AZ25" s="66">
        <v>6807.3394600810598</v>
      </c>
      <c r="BA25" s="66">
        <v>10068.4102326313</v>
      </c>
      <c r="BB25" s="66">
        <v>16709.382992926101</v>
      </c>
    </row>
    <row r="26" spans="1:54" ht="15" x14ac:dyDescent="0.25">
      <c r="A26" s="127">
        <v>1.1000000000000001</v>
      </c>
      <c r="B26" s="127">
        <v>100.873747428972</v>
      </c>
      <c r="C26" s="127">
        <v>105.209390139199</v>
      </c>
      <c r="D26" s="127">
        <v>110.63316287392099</v>
      </c>
      <c r="E26" s="127">
        <v>121.144092612958</v>
      </c>
      <c r="F26" s="127">
        <v>149.18467017414801</v>
      </c>
      <c r="G26" s="127">
        <v>206.00717608408999</v>
      </c>
      <c r="H26" s="127">
        <v>311.40375962672499</v>
      </c>
      <c r="I26" s="127">
        <v>635.19641535783796</v>
      </c>
      <c r="K26" s="66">
        <v>1.1000000000000001</v>
      </c>
      <c r="L26" s="66">
        <v>159.714612782052</v>
      </c>
      <c r="M26" s="66">
        <v>167.14714314244199</v>
      </c>
      <c r="N26" s="66">
        <v>174.93532127744299</v>
      </c>
      <c r="O26" s="66">
        <v>187.301120970428</v>
      </c>
      <c r="P26" s="66">
        <v>225.25350873100601</v>
      </c>
      <c r="Q26" s="66">
        <v>296.73988713383699</v>
      </c>
      <c r="R26" s="66">
        <v>439.71264393949798</v>
      </c>
      <c r="S26" s="66">
        <v>876.78913996164101</v>
      </c>
      <c r="T26" s="66">
        <v>917.96089045682299</v>
      </c>
      <c r="V26" s="126">
        <v>1.1000000000000001</v>
      </c>
      <c r="W26" s="126">
        <v>650.26161660000002</v>
      </c>
      <c r="X26" s="126">
        <v>650.26161660000002</v>
      </c>
      <c r="Y26" s="126">
        <v>665.23927909999998</v>
      </c>
      <c r="Z26" s="126">
        <v>696.7720683</v>
      </c>
      <c r="AA26" s="126">
        <v>781.56417139999996</v>
      </c>
      <c r="AB26" s="126">
        <v>939.20080069999995</v>
      </c>
      <c r="AC26" s="126">
        <v>1238.893695</v>
      </c>
      <c r="AD26" s="126">
        <v>2360.5258090000002</v>
      </c>
      <c r="AF26" s="112">
        <v>1.1000000000000001</v>
      </c>
      <c r="AG26" s="112">
        <v>49.881557874221997</v>
      </c>
      <c r="AH26" s="112"/>
      <c r="AI26" s="114"/>
      <c r="AJ26" s="113">
        <v>1.1000000000000001</v>
      </c>
      <c r="AK26" s="113">
        <v>123.790716040172</v>
      </c>
      <c r="AL26" s="113"/>
      <c r="AN26" s="157">
        <v>1.1000000000000001</v>
      </c>
      <c r="AO26" s="157">
        <v>7997.8626770000001</v>
      </c>
      <c r="AP26" s="157">
        <v>8183.8819299999996</v>
      </c>
      <c r="AQ26" s="157">
        <v>8973.6886730000006</v>
      </c>
      <c r="AR26" s="157">
        <v>10068.87702</v>
      </c>
      <c r="AS26" s="157">
        <v>14892.24561</v>
      </c>
      <c r="AT26" s="157">
        <v>24153.034739999999</v>
      </c>
      <c r="AV26" s="66">
        <v>1.1000000000000001</v>
      </c>
      <c r="AW26" s="66">
        <v>2904.0354750552701</v>
      </c>
      <c r="AX26" s="66">
        <v>3655.8632878978001</v>
      </c>
      <c r="AY26" s="66">
        <v>4497.6004061936801</v>
      </c>
      <c r="AZ26" s="66">
        <v>6208.20245046531</v>
      </c>
      <c r="BA26" s="66">
        <v>10068.4102326313</v>
      </c>
      <c r="BB26" s="66">
        <v>15594.649444054199</v>
      </c>
    </row>
    <row r="27" spans="1:54" ht="15" x14ac:dyDescent="0.25">
      <c r="A27" s="127">
        <v>1.2</v>
      </c>
      <c r="B27" s="127">
        <v>95.918727188712595</v>
      </c>
      <c r="C27" s="127">
        <v>100.873747428972</v>
      </c>
      <c r="D27" s="127">
        <v>105.68684299672699</v>
      </c>
      <c r="E27" s="127">
        <v>115.57948275111499</v>
      </c>
      <c r="F27" s="127">
        <v>141.85273392770401</v>
      </c>
      <c r="G27" s="127">
        <v>192.259795622008</v>
      </c>
      <c r="H27" s="127">
        <v>296.73988713383699</v>
      </c>
      <c r="I27" s="127">
        <v>606.45387255931496</v>
      </c>
      <c r="K27" s="66">
        <v>1.2</v>
      </c>
      <c r="L27" s="66">
        <v>149.18519477150099</v>
      </c>
      <c r="M27" s="66">
        <v>155.998347601858</v>
      </c>
      <c r="N27" s="66">
        <v>163.18781156910799</v>
      </c>
      <c r="O27" s="66">
        <v>174.93532127744299</v>
      </c>
      <c r="P27" s="66">
        <v>215.17209639214599</v>
      </c>
      <c r="Q27" s="66">
        <v>277.49355448692103</v>
      </c>
      <c r="R27" s="66">
        <v>410.38489895372197</v>
      </c>
      <c r="S27" s="66">
        <v>818.52722888355299</v>
      </c>
      <c r="T27" s="66">
        <v>856.59167745457103</v>
      </c>
      <c r="V27" s="126">
        <v>1.2</v>
      </c>
      <c r="W27" s="126">
        <v>606.90518950000001</v>
      </c>
      <c r="X27" s="126">
        <v>606.90518950000001</v>
      </c>
      <c r="Y27" s="126">
        <v>620.72240020000004</v>
      </c>
      <c r="Z27" s="126">
        <v>649.78202950000002</v>
      </c>
      <c r="AA27" s="126">
        <v>729.32412569999997</v>
      </c>
      <c r="AB27" s="126">
        <v>876.87934259999997</v>
      </c>
      <c r="AC27" s="126">
        <v>1156.409412</v>
      </c>
      <c r="AD27" s="126">
        <v>2103.3965750000002</v>
      </c>
      <c r="AF27" s="112">
        <v>1.2</v>
      </c>
      <c r="AG27" s="112">
        <v>47.636517949081203</v>
      </c>
      <c r="AH27" s="112"/>
      <c r="AI27" s="114"/>
      <c r="AJ27" s="113">
        <v>1.2</v>
      </c>
      <c r="AK27" s="113">
        <v>118.21631826988001</v>
      </c>
      <c r="AL27" s="113"/>
      <c r="AN27" s="157">
        <v>1.2</v>
      </c>
      <c r="AO27" s="157">
        <v>7997.8626770000001</v>
      </c>
      <c r="AP27" s="157">
        <v>7997.8626770000001</v>
      </c>
      <c r="AQ27" s="157">
        <v>8374.5516640000005</v>
      </c>
      <c r="AR27" s="157">
        <v>10068.87702</v>
      </c>
      <c r="AS27" s="157">
        <v>14222.457770000001</v>
      </c>
      <c r="AT27" s="157">
        <v>22027.716950000002</v>
      </c>
      <c r="AV27" s="66">
        <v>1.2</v>
      </c>
      <c r="AW27" s="66">
        <v>2710.2654201989399</v>
      </c>
      <c r="AX27" s="66">
        <v>3411.7130187788298</v>
      </c>
      <c r="AY27" s="66">
        <v>4197.6443612760904</v>
      </c>
      <c r="AZ27" s="66">
        <v>5793.5345330727696</v>
      </c>
      <c r="BA27" s="66">
        <v>9396.6753360563507</v>
      </c>
      <c r="BB27" s="66">
        <v>14892.4815365369</v>
      </c>
    </row>
    <row r="28" spans="1:54" ht="15" x14ac:dyDescent="0.25">
      <c r="A28" s="127">
        <v>1.3</v>
      </c>
      <c r="B28" s="127">
        <v>94.060594598615396</v>
      </c>
      <c r="C28" s="127">
        <v>95.918727188712595</v>
      </c>
      <c r="D28" s="127">
        <v>100.74052311953299</v>
      </c>
      <c r="E28" s="127">
        <v>110.63316287392099</v>
      </c>
      <c r="F28" s="127">
        <v>135.437289712065</v>
      </c>
      <c r="G28" s="127">
        <v>183.094875313952</v>
      </c>
      <c r="H28" s="127">
        <v>283.90899870255998</v>
      </c>
      <c r="I28" s="127">
        <v>579.26498072287404</v>
      </c>
      <c r="K28" s="66">
        <v>1.3</v>
      </c>
      <c r="L28" s="66">
        <v>145.46892959130699</v>
      </c>
      <c r="M28" s="66">
        <v>149.18519477150099</v>
      </c>
      <c r="N28" s="66">
        <v>155.768331753317</v>
      </c>
      <c r="O28" s="66">
        <v>166.89755147700299</v>
      </c>
      <c r="P28" s="66">
        <v>200.50822389925699</v>
      </c>
      <c r="Q28" s="66">
        <v>264.66266605564402</v>
      </c>
      <c r="R28" s="66">
        <v>382.890138029556</v>
      </c>
      <c r="S28" s="66">
        <v>781.23960579357697</v>
      </c>
      <c r="T28" s="66">
        <v>799.88341733856498</v>
      </c>
      <c r="V28" s="126">
        <v>1.3</v>
      </c>
      <c r="W28" s="126">
        <v>528.24424320000003</v>
      </c>
      <c r="X28" s="126">
        <v>540.63179379999997</v>
      </c>
      <c r="Y28" s="126">
        <v>553.32879190000006</v>
      </c>
      <c r="Z28" s="126">
        <v>566.31288159999997</v>
      </c>
      <c r="AA28" s="126">
        <v>634.92544650000002</v>
      </c>
      <c r="AB28" s="126">
        <v>746.73747430000003</v>
      </c>
      <c r="AC28" s="126">
        <v>1007.021211</v>
      </c>
      <c r="AD28" s="126">
        <v>1918.5121099999999</v>
      </c>
      <c r="AF28" s="112">
        <v>1.3</v>
      </c>
      <c r="AG28" s="112">
        <v>45.492521465249602</v>
      </c>
      <c r="AH28" s="112"/>
      <c r="AI28" s="114"/>
      <c r="AJ28" s="113">
        <v>1.3</v>
      </c>
      <c r="AK28" s="113">
        <v>113.261298029621</v>
      </c>
      <c r="AL28" s="113"/>
      <c r="AN28" s="157">
        <v>1.3</v>
      </c>
      <c r="AO28" s="157">
        <v>7637.4503750000003</v>
      </c>
      <c r="AP28" s="157">
        <v>7997.8626770000001</v>
      </c>
      <c r="AQ28" s="157">
        <v>8183.8819299999996</v>
      </c>
      <c r="AR28" s="157">
        <v>10068.87702</v>
      </c>
      <c r="AS28" s="157">
        <v>13898.27267</v>
      </c>
      <c r="AT28" s="157">
        <v>21526.456419999999</v>
      </c>
      <c r="AV28" s="66">
        <v>1.3</v>
      </c>
      <c r="AW28" s="66">
        <v>2648.2590026449202</v>
      </c>
      <c r="AX28" s="66">
        <v>3258.24713533263</v>
      </c>
      <c r="AY28" s="66">
        <v>3917.0653218441298</v>
      </c>
      <c r="AZ28" s="66">
        <v>5406.7695035795496</v>
      </c>
      <c r="BA28" s="66">
        <v>8973.1902925634404</v>
      </c>
      <c r="BB28" s="66">
        <v>13898.6955698211</v>
      </c>
    </row>
    <row r="29" spans="1:54" ht="15" x14ac:dyDescent="0.25">
      <c r="A29" s="127">
        <v>1.4</v>
      </c>
      <c r="B29" s="127">
        <v>89.724951888388404</v>
      </c>
      <c r="C29" s="127">
        <v>94.060594598615396</v>
      </c>
      <c r="D29" s="127">
        <v>98.267363180936201</v>
      </c>
      <c r="E29" s="127">
        <v>108.160002935324</v>
      </c>
      <c r="F29" s="127">
        <v>132.68781361964901</v>
      </c>
      <c r="G29" s="127">
        <v>179.42890719073</v>
      </c>
      <c r="H29" s="127">
        <v>277.49355448692103</v>
      </c>
      <c r="I29" s="127">
        <v>566.05894754517396</v>
      </c>
      <c r="K29" s="66">
        <v>1.4</v>
      </c>
      <c r="L29" s="66">
        <v>139.27515429098199</v>
      </c>
      <c r="M29" s="66">
        <v>142.372041941145</v>
      </c>
      <c r="N29" s="66">
        <v>148.96714192217499</v>
      </c>
      <c r="O29" s="66">
        <v>159.478071661212</v>
      </c>
      <c r="P29" s="66">
        <v>195.92576374523</v>
      </c>
      <c r="Q29" s="66">
        <v>252.74826965517201</v>
      </c>
      <c r="R29" s="66">
        <v>373.725217721501</v>
      </c>
      <c r="S29" s="66">
        <v>746.28245914672505</v>
      </c>
      <c r="T29" s="66">
        <v>764.14944521067196</v>
      </c>
      <c r="V29" s="126">
        <v>1.4</v>
      </c>
      <c r="W29" s="126">
        <v>470.64213289999998</v>
      </c>
      <c r="X29" s="126">
        <v>481.79092839999998</v>
      </c>
      <c r="Y29" s="126">
        <v>481.60715370000003</v>
      </c>
      <c r="Z29" s="126">
        <v>504.48388310000001</v>
      </c>
      <c r="AA29" s="126">
        <v>553.35765579999997</v>
      </c>
      <c r="AB29" s="126">
        <v>650.50581099999999</v>
      </c>
      <c r="AC29" s="126">
        <v>876.87934259999997</v>
      </c>
      <c r="AD29" s="126">
        <v>1709.5460559999999</v>
      </c>
      <c r="AF29" s="112">
        <v>1.4</v>
      </c>
      <c r="AG29" s="112">
        <v>44.456985250973098</v>
      </c>
      <c r="AH29" s="112"/>
      <c r="AI29" s="114"/>
      <c r="AJ29" s="113">
        <v>1.4</v>
      </c>
      <c r="AK29" s="113">
        <v>110.164410379458</v>
      </c>
      <c r="AL29" s="113"/>
      <c r="AN29" s="157">
        <v>1.4</v>
      </c>
      <c r="AO29" s="157">
        <v>7463.8324060000004</v>
      </c>
      <c r="AP29" s="157">
        <v>7997.8626770000001</v>
      </c>
      <c r="AQ29" s="157">
        <v>8183.8819299999996</v>
      </c>
      <c r="AR29" s="157">
        <v>9839.4532780000009</v>
      </c>
      <c r="AS29" s="157">
        <v>13581.8758</v>
      </c>
      <c r="AT29" s="157">
        <v>20089.19598</v>
      </c>
      <c r="AV29" s="66">
        <v>1.4</v>
      </c>
      <c r="AW29" s="66">
        <v>2528.8966488534202</v>
      </c>
      <c r="AX29" s="66">
        <v>3111.7569738612401</v>
      </c>
      <c r="AY29" s="66">
        <v>3827.9310966102198</v>
      </c>
      <c r="AZ29" s="66">
        <v>5164.1693948994298</v>
      </c>
      <c r="BA29" s="66">
        <v>8570.1493546184593</v>
      </c>
      <c r="BB29" s="66">
        <v>13582.216063179299</v>
      </c>
    </row>
    <row r="30" spans="1:54" ht="15" x14ac:dyDescent="0.25">
      <c r="A30" s="127">
        <v>1.5</v>
      </c>
      <c r="B30" s="127">
        <v>89.724951888388404</v>
      </c>
      <c r="C30" s="127">
        <v>91.583084478485702</v>
      </c>
      <c r="D30" s="127">
        <v>96.412493226988502</v>
      </c>
      <c r="E30" s="127">
        <v>105.68684299672699</v>
      </c>
      <c r="F30" s="127">
        <v>129.93833752723199</v>
      </c>
      <c r="G30" s="127">
        <v>174.84644703670301</v>
      </c>
      <c r="H30" s="127">
        <v>264.66266605564402</v>
      </c>
      <c r="I30" s="127">
        <v>540.42370667081502</v>
      </c>
      <c r="K30" s="66">
        <v>1.5</v>
      </c>
      <c r="L30" s="66">
        <v>135.55888911078799</v>
      </c>
      <c r="M30" s="66">
        <v>139.27515429098199</v>
      </c>
      <c r="N30" s="66">
        <v>145.25740201427899</v>
      </c>
      <c r="O30" s="66">
        <v>152.67688183006999</v>
      </c>
      <c r="P30" s="66">
        <v>187.67733546797999</v>
      </c>
      <c r="Q30" s="66">
        <v>241.75036528550601</v>
      </c>
      <c r="R30" s="66">
        <v>357.22836116700103</v>
      </c>
      <c r="S30" s="66">
        <v>712.87896346195498</v>
      </c>
      <c r="T30" s="66">
        <v>746.28245914672505</v>
      </c>
      <c r="V30" s="126">
        <v>1.5</v>
      </c>
      <c r="W30" s="126">
        <v>419.8531754</v>
      </c>
      <c r="X30" s="126">
        <v>429.76321589999998</v>
      </c>
      <c r="Y30" s="126">
        <v>439.56343470000002</v>
      </c>
      <c r="Z30" s="126">
        <v>449.4560745</v>
      </c>
      <c r="AA30" s="126">
        <v>492.86918170000001</v>
      </c>
      <c r="AB30" s="126">
        <v>579.01943259999996</v>
      </c>
      <c r="AC30" s="126">
        <v>799.89401199999998</v>
      </c>
      <c r="AD30" s="126">
        <v>1596.129535</v>
      </c>
      <c r="AF30" s="112">
        <v>1.5</v>
      </c>
      <c r="AG30" s="112">
        <v>43.445020718734398</v>
      </c>
      <c r="AH30" s="112"/>
      <c r="AI30" s="114"/>
      <c r="AJ30" s="113">
        <v>1.5</v>
      </c>
      <c r="AK30" s="113">
        <v>105.209390139199</v>
      </c>
      <c r="AL30" s="113"/>
      <c r="AN30" s="157">
        <v>1.5</v>
      </c>
      <c r="AO30" s="157">
        <v>7294.0898379999999</v>
      </c>
      <c r="AP30" s="157">
        <v>7997.8626770000001</v>
      </c>
      <c r="AQ30" s="157">
        <v>8183.8819299999996</v>
      </c>
      <c r="AR30" s="157">
        <v>9396.8824729999997</v>
      </c>
      <c r="AS30" s="157">
        <v>12675.52045</v>
      </c>
      <c r="AT30" s="157">
        <v>18748.693609999998</v>
      </c>
      <c r="AV30" s="66">
        <v>1.5</v>
      </c>
      <c r="AW30" s="66">
        <v>2471.5407126159498</v>
      </c>
      <c r="AX30" s="66">
        <v>3040.44959367412</v>
      </c>
      <c r="AY30" s="66">
        <v>3655.8632878978001</v>
      </c>
      <c r="AZ30" s="66">
        <v>4931.64532907184</v>
      </c>
      <c r="BA30" s="66">
        <v>8374.47005865967</v>
      </c>
      <c r="BB30" s="66">
        <v>13273.1277976693</v>
      </c>
    </row>
    <row r="31" spans="1:54" ht="15" x14ac:dyDescent="0.25">
      <c r="A31" s="127">
        <v>1.6</v>
      </c>
      <c r="B31" s="127">
        <v>85.389309178161398</v>
      </c>
      <c r="C31" s="127">
        <v>89.724951888388404</v>
      </c>
      <c r="D31" s="127">
        <v>93.939333288391495</v>
      </c>
      <c r="E31" s="127">
        <v>100.74052311953299</v>
      </c>
      <c r="F31" s="127">
        <v>127.188861434816</v>
      </c>
      <c r="G31" s="127">
        <v>171.18047891348101</v>
      </c>
      <c r="H31" s="127">
        <v>259.16371387081102</v>
      </c>
      <c r="I31" s="127">
        <v>528.77132445519806</v>
      </c>
      <c r="K31" s="66">
        <v>1.6</v>
      </c>
      <c r="L31" s="66">
        <v>129.98449134049599</v>
      </c>
      <c r="M31" s="66">
        <v>135.55888911078799</v>
      </c>
      <c r="N31" s="66">
        <v>139.07450216778699</v>
      </c>
      <c r="O31" s="66">
        <v>148.96714192217499</v>
      </c>
      <c r="P31" s="66">
        <v>183.094875313952</v>
      </c>
      <c r="Q31" s="66">
        <v>236.25141310067201</v>
      </c>
      <c r="R31" s="66">
        <v>348.97993288975198</v>
      </c>
      <c r="S31" s="66">
        <v>696.56562836009005</v>
      </c>
      <c r="T31" s="66">
        <v>729.19229856381901</v>
      </c>
      <c r="V31" s="126">
        <v>1.6</v>
      </c>
      <c r="W31" s="126">
        <v>382.69052360000001</v>
      </c>
      <c r="X31" s="126">
        <v>382.69052360000001</v>
      </c>
      <c r="Y31" s="126">
        <v>391.95510589999998</v>
      </c>
      <c r="Z31" s="126">
        <v>409.88551539999997</v>
      </c>
      <c r="AA31" s="126">
        <v>449.79405630000002</v>
      </c>
      <c r="AB31" s="126">
        <v>528.61237089999997</v>
      </c>
      <c r="AC31" s="126">
        <v>746.73747430000003</v>
      </c>
      <c r="AD31" s="126">
        <v>1488.927619</v>
      </c>
      <c r="AF31" s="112">
        <v>1.6</v>
      </c>
      <c r="AG31" s="112">
        <v>42.456091311543602</v>
      </c>
      <c r="AH31" s="112"/>
      <c r="AI31" s="114"/>
      <c r="AJ31" s="113">
        <v>1.6</v>
      </c>
      <c r="AK31" s="113">
        <v>105.209390139199</v>
      </c>
      <c r="AL31" s="113"/>
      <c r="AN31" s="157">
        <v>1.6</v>
      </c>
      <c r="AO31" s="157">
        <v>7128.2226710000004</v>
      </c>
      <c r="AP31" s="157">
        <v>7815.7188260000003</v>
      </c>
      <c r="AQ31" s="157">
        <v>8183.8819299999996</v>
      </c>
      <c r="AR31" s="157">
        <v>8973.6886730000006</v>
      </c>
      <c r="AS31" s="157">
        <v>12105.03256</v>
      </c>
      <c r="AT31" s="157">
        <v>18322.01742</v>
      </c>
      <c r="AV31" s="66">
        <v>1.6</v>
      </c>
      <c r="AW31" s="66">
        <v>2359.9291610187101</v>
      </c>
      <c r="AX31" s="66">
        <v>2971.46745414527</v>
      </c>
      <c r="AY31" s="66">
        <v>3572.1546241998699</v>
      </c>
      <c r="AZ31" s="66">
        <v>4819.2586972551699</v>
      </c>
      <c r="BA31" s="66">
        <v>8374.47005865967</v>
      </c>
      <c r="BB31" s="66">
        <v>12675.781128020701</v>
      </c>
    </row>
    <row r="32" spans="1:54" ht="15" x14ac:dyDescent="0.25">
      <c r="A32" s="127">
        <v>1.7</v>
      </c>
      <c r="B32" s="127">
        <v>85.389309178161398</v>
      </c>
      <c r="C32" s="127">
        <v>89.724951888388404</v>
      </c>
      <c r="D32" s="127">
        <v>92.084463334443697</v>
      </c>
      <c r="E32" s="127">
        <v>100.74052311953299</v>
      </c>
      <c r="F32" s="127">
        <v>123.52289331159299</v>
      </c>
      <c r="G32" s="127">
        <v>167.51451079025799</v>
      </c>
      <c r="H32" s="127">
        <v>252.74826965517201</v>
      </c>
      <c r="I32" s="127">
        <v>516.34211675853896</v>
      </c>
      <c r="K32" s="66">
        <v>1.7</v>
      </c>
      <c r="L32" s="66">
        <v>126.887603690334</v>
      </c>
      <c r="M32" s="66">
        <v>132.462001460626</v>
      </c>
      <c r="N32" s="66">
        <v>135.983052244541</v>
      </c>
      <c r="O32" s="66">
        <v>145.25740201427899</v>
      </c>
      <c r="P32" s="66">
        <v>179.42890719073</v>
      </c>
      <c r="Q32" s="66">
        <v>230.75246091583901</v>
      </c>
      <c r="R32" s="66">
        <v>340.73150461250202</v>
      </c>
      <c r="S32" s="66">
        <v>681.02911873926701</v>
      </c>
      <c r="T32" s="66">
        <v>712.87896346195498</v>
      </c>
      <c r="V32" s="126">
        <v>1.7</v>
      </c>
      <c r="W32" s="126">
        <v>349.24413700000002</v>
      </c>
      <c r="X32" s="126">
        <v>349.24413700000002</v>
      </c>
      <c r="Y32" s="126">
        <v>357.3308667</v>
      </c>
      <c r="Z32" s="126">
        <v>374.02469630000002</v>
      </c>
      <c r="AA32" s="126">
        <v>410.38489900000002</v>
      </c>
      <c r="AB32" s="126">
        <v>492.86918170000001</v>
      </c>
      <c r="AC32" s="126">
        <v>696.33041260000005</v>
      </c>
      <c r="AD32" s="126">
        <v>1389.4939569999999</v>
      </c>
      <c r="AF32" s="112">
        <v>1.7</v>
      </c>
      <c r="AG32" s="112">
        <v>41.489672685938999</v>
      </c>
      <c r="AH32" s="112"/>
      <c r="AI32" s="114"/>
      <c r="AJ32" s="113">
        <v>1.7</v>
      </c>
      <c r="AK32" s="113">
        <v>102.731880019069</v>
      </c>
      <c r="AL32" s="113"/>
      <c r="AN32" s="157">
        <v>1.7</v>
      </c>
      <c r="AO32" s="157">
        <v>6965.455825</v>
      </c>
      <c r="AP32" s="157">
        <v>7637.4503750000003</v>
      </c>
      <c r="AQ32" s="157">
        <v>8183.8819299999996</v>
      </c>
      <c r="AR32" s="157">
        <v>8569.8718790000003</v>
      </c>
      <c r="AS32" s="157">
        <v>11559.85641</v>
      </c>
      <c r="AT32" s="157">
        <v>17496.886139999999</v>
      </c>
      <c r="AV32" s="66">
        <v>1.7</v>
      </c>
      <c r="AW32" s="66">
        <v>2306.44862587836</v>
      </c>
      <c r="AX32" s="66">
        <v>2904.0354750552701</v>
      </c>
      <c r="AY32" s="66">
        <v>3490.7712011602098</v>
      </c>
      <c r="AZ32" s="66">
        <v>4709.1973060967803</v>
      </c>
      <c r="BA32" s="66">
        <v>8374.47005865967</v>
      </c>
      <c r="BB32" s="66">
        <v>12386.85079287</v>
      </c>
    </row>
    <row r="33" spans="1:54" ht="15" x14ac:dyDescent="0.25">
      <c r="A33" s="127">
        <v>1.8</v>
      </c>
      <c r="B33" s="127">
        <v>83.531176588064099</v>
      </c>
      <c r="C33" s="127">
        <v>87.866819298291105</v>
      </c>
      <c r="D33" s="127">
        <v>89.611303395846704</v>
      </c>
      <c r="E33" s="127">
        <v>98.267363180936201</v>
      </c>
      <c r="F33" s="127">
        <v>120.77341721917701</v>
      </c>
      <c r="G33" s="127">
        <v>162.932050636231</v>
      </c>
      <c r="H33" s="127">
        <v>252.74826965517201</v>
      </c>
      <c r="I33" s="127">
        <v>504.68973454292097</v>
      </c>
      <c r="K33" s="66">
        <v>1.8</v>
      </c>
      <c r="L33" s="66">
        <v>123.790716040172</v>
      </c>
      <c r="M33" s="66">
        <v>129.98449134049599</v>
      </c>
      <c r="N33" s="66">
        <v>135.983052244541</v>
      </c>
      <c r="O33" s="66">
        <v>145.25740201427899</v>
      </c>
      <c r="P33" s="66">
        <v>174.84644703670301</v>
      </c>
      <c r="Q33" s="66">
        <v>225.25350873100601</v>
      </c>
      <c r="R33" s="66">
        <v>333.39956836605802</v>
      </c>
      <c r="S33" s="66">
        <v>665.49260911844306</v>
      </c>
      <c r="T33" s="66">
        <v>696.56562836009005</v>
      </c>
      <c r="V33" s="126">
        <v>1.8</v>
      </c>
      <c r="W33" s="126">
        <v>318.2752605</v>
      </c>
      <c r="X33" s="126">
        <v>325.7077908</v>
      </c>
      <c r="Y33" s="126">
        <v>333.21755730000001</v>
      </c>
      <c r="Z33" s="126">
        <v>341.25532709999999</v>
      </c>
      <c r="AA33" s="126">
        <v>382.89013799999998</v>
      </c>
      <c r="AB33" s="126">
        <v>470.87337300000002</v>
      </c>
      <c r="AC33" s="126">
        <v>665.16968350000002</v>
      </c>
      <c r="AD33" s="126">
        <v>1327.347919</v>
      </c>
      <c r="AF33" s="112">
        <v>1.8</v>
      </c>
      <c r="AG33" s="112">
        <v>41.489672685938999</v>
      </c>
      <c r="AH33" s="112"/>
      <c r="AI33" s="114"/>
      <c r="AJ33" s="113">
        <v>1.8</v>
      </c>
      <c r="AK33" s="113">
        <v>100.873747428972</v>
      </c>
      <c r="AL33" s="113"/>
      <c r="AN33" s="157">
        <v>1.8</v>
      </c>
      <c r="AO33" s="157">
        <v>6965.455825</v>
      </c>
      <c r="AP33" s="157">
        <v>7637.4503750000003</v>
      </c>
      <c r="AQ33" s="157">
        <v>8183.8819299999996</v>
      </c>
      <c r="AR33" s="157">
        <v>8183.8819299999996</v>
      </c>
      <c r="AS33" s="157">
        <v>11297.00362</v>
      </c>
      <c r="AT33" s="157">
        <v>17099.10298</v>
      </c>
      <c r="AV33" s="66">
        <v>1.8</v>
      </c>
      <c r="AW33" s="66">
        <v>2202.5878764753702</v>
      </c>
      <c r="AX33" s="66">
        <v>2837.3785761846898</v>
      </c>
      <c r="AY33" s="66">
        <v>3411.7130187788298</v>
      </c>
      <c r="AZ33" s="66">
        <v>4602.2362358160899</v>
      </c>
      <c r="BA33" s="66">
        <v>8183.6584068789498</v>
      </c>
      <c r="BB33" s="66">
        <v>12386.85079287</v>
      </c>
    </row>
    <row r="34" spans="1:54" ht="15" x14ac:dyDescent="0.25">
      <c r="A34" s="127">
        <v>1.9</v>
      </c>
      <c r="B34" s="127">
        <v>81.6730439979669</v>
      </c>
      <c r="C34" s="127">
        <v>85.389309178161398</v>
      </c>
      <c r="D34" s="127">
        <v>89.611303395846704</v>
      </c>
      <c r="E34" s="127">
        <v>96.412493226988502</v>
      </c>
      <c r="F34" s="127">
        <v>120.77341721917701</v>
      </c>
      <c r="G34" s="127">
        <v>159.266082513009</v>
      </c>
      <c r="H34" s="127">
        <v>247.24931747033901</v>
      </c>
      <c r="I34" s="127">
        <v>504.68973454292097</v>
      </c>
      <c r="K34" s="66">
        <v>1.9</v>
      </c>
      <c r="L34" s="66">
        <v>123.790716040172</v>
      </c>
      <c r="M34" s="66">
        <v>126.887603690334</v>
      </c>
      <c r="N34" s="66">
        <v>132.89160232129399</v>
      </c>
      <c r="O34" s="66">
        <v>139.07450216778699</v>
      </c>
      <c r="P34" s="66">
        <v>171.18047891348101</v>
      </c>
      <c r="Q34" s="66">
        <v>220.67104857697899</v>
      </c>
      <c r="R34" s="66">
        <v>326.06763211961402</v>
      </c>
      <c r="S34" s="66">
        <v>649.95609949762002</v>
      </c>
      <c r="T34" s="66">
        <v>681.02911873926701</v>
      </c>
      <c r="V34" s="126">
        <v>1.9</v>
      </c>
      <c r="W34" s="126">
        <v>297.21642439999999</v>
      </c>
      <c r="X34" s="126">
        <v>304.02957730000003</v>
      </c>
      <c r="Y34" s="126">
        <v>310.95911790000002</v>
      </c>
      <c r="Z34" s="126">
        <v>325.79807749999998</v>
      </c>
      <c r="AA34" s="126">
        <v>365.47678939999997</v>
      </c>
      <c r="AB34" s="126">
        <v>439.71264389999999</v>
      </c>
      <c r="AC34" s="126">
        <v>634.92544650000002</v>
      </c>
      <c r="AD34" s="126">
        <v>1267.532357</v>
      </c>
      <c r="AF34" s="112">
        <v>1.9</v>
      </c>
      <c r="AG34" s="112">
        <v>40.545252433973303</v>
      </c>
      <c r="AH34" s="112"/>
      <c r="AI34" s="114"/>
      <c r="AJ34" s="113">
        <v>1.9</v>
      </c>
      <c r="AK34" s="113">
        <v>100.873747428972</v>
      </c>
      <c r="AL34" s="113"/>
      <c r="AN34" s="157">
        <v>1.9</v>
      </c>
      <c r="AO34" s="157">
        <v>6807.3394600000001</v>
      </c>
      <c r="AP34" s="157">
        <v>7463.8324060000004</v>
      </c>
      <c r="AQ34" s="157">
        <v>8183.8819299999996</v>
      </c>
      <c r="AR34" s="157">
        <v>8183.8819299999996</v>
      </c>
      <c r="AS34" s="157">
        <v>10788.82157</v>
      </c>
      <c r="AT34" s="157">
        <v>16709.382989999998</v>
      </c>
      <c r="AV34" s="66">
        <v>1.9</v>
      </c>
      <c r="AW34" s="66">
        <v>2152.9827424321502</v>
      </c>
      <c r="AX34" s="66">
        <v>2773.04691797239</v>
      </c>
      <c r="AY34" s="66">
        <v>3411.7130187788298</v>
      </c>
      <c r="AZ34" s="66">
        <v>4497.6004061936801</v>
      </c>
      <c r="BA34" s="66">
        <v>7997.7143992763204</v>
      </c>
      <c r="BB34" s="66">
        <v>12105.311698851099</v>
      </c>
    </row>
    <row r="35" spans="1:54" ht="15" x14ac:dyDescent="0.25">
      <c r="A35" s="127">
        <v>2</v>
      </c>
      <c r="B35" s="127">
        <v>81.6730439979669</v>
      </c>
      <c r="C35" s="127">
        <v>85.389309178161398</v>
      </c>
      <c r="D35" s="127">
        <v>89.611303395846704</v>
      </c>
      <c r="E35" s="127">
        <v>96.412493226988502</v>
      </c>
      <c r="F35" s="127">
        <v>118.02394112675999</v>
      </c>
      <c r="G35" s="127">
        <v>159.266082513009</v>
      </c>
      <c r="H35" s="127">
        <v>241.75036528550601</v>
      </c>
      <c r="I35" s="127">
        <v>493.03735232730401</v>
      </c>
      <c r="K35" s="66">
        <v>2</v>
      </c>
      <c r="L35" s="66">
        <v>121.31320592004199</v>
      </c>
      <c r="M35" s="66">
        <v>123.790716040172</v>
      </c>
      <c r="N35" s="66">
        <v>129.800152398048</v>
      </c>
      <c r="O35" s="66">
        <v>139.07450216778699</v>
      </c>
      <c r="P35" s="66">
        <v>167.51451079025799</v>
      </c>
      <c r="Q35" s="66">
        <v>220.67104857697899</v>
      </c>
      <c r="R35" s="66">
        <v>326.06763211961402</v>
      </c>
      <c r="S35" s="66">
        <v>649.95609949762002</v>
      </c>
      <c r="T35" s="66">
        <v>665.49260911844306</v>
      </c>
      <c r="V35" s="126">
        <v>2</v>
      </c>
      <c r="W35" s="126">
        <v>283.59011880000003</v>
      </c>
      <c r="X35" s="126">
        <v>290.40327159999998</v>
      </c>
      <c r="Y35" s="126">
        <v>297.3567382</v>
      </c>
      <c r="Z35" s="126">
        <v>304.15792809999999</v>
      </c>
      <c r="AA35" s="126">
        <v>348.97993289999999</v>
      </c>
      <c r="AB35" s="126">
        <v>429.63123159999998</v>
      </c>
      <c r="AC35" s="126">
        <v>606.51419350000003</v>
      </c>
      <c r="AD35" s="126">
        <v>1210.8240969999999</v>
      </c>
      <c r="AF35" s="112">
        <v>2</v>
      </c>
      <c r="AG35" s="112">
        <v>39.622329811527798</v>
      </c>
      <c r="AH35" s="112"/>
      <c r="AI35" s="114"/>
      <c r="AJ35" s="113">
        <v>2</v>
      </c>
      <c r="AK35" s="113">
        <v>98.396237308842302</v>
      </c>
      <c r="AL35" s="113"/>
      <c r="AN35" s="157">
        <v>2</v>
      </c>
      <c r="AO35" s="157">
        <v>6652.3234160000002</v>
      </c>
      <c r="AP35" s="157">
        <v>7294.0898379999999</v>
      </c>
      <c r="AQ35" s="157">
        <v>7997.8626770000001</v>
      </c>
      <c r="AR35" s="157">
        <v>8183.8819299999996</v>
      </c>
      <c r="AS35" s="157">
        <v>10543.4923</v>
      </c>
      <c r="AT35" s="157">
        <v>16709.382989999998</v>
      </c>
      <c r="AV35" s="66">
        <v>2</v>
      </c>
      <c r="AW35" s="66">
        <v>2103.3776083889302</v>
      </c>
      <c r="AX35" s="66">
        <v>2710.2654201989399</v>
      </c>
      <c r="AY35" s="66">
        <v>3334.2049968362999</v>
      </c>
      <c r="AZ35" s="66">
        <v>4497.6004061936801</v>
      </c>
      <c r="BA35" s="66">
        <v>7815.6645070161503</v>
      </c>
      <c r="BB35" s="66">
        <v>11829.81998394</v>
      </c>
    </row>
    <row r="36" spans="1:54" ht="15" x14ac:dyDescent="0.25">
      <c r="A36" s="127">
        <v>2.1</v>
      </c>
      <c r="B36" s="127">
        <v>79.814911407869602</v>
      </c>
      <c r="C36" s="127">
        <v>83.531176588064099</v>
      </c>
      <c r="D36" s="127">
        <v>87.756433441899006</v>
      </c>
      <c r="E36" s="127">
        <v>93.939333288391495</v>
      </c>
      <c r="F36" s="127">
        <v>118.02394112675999</v>
      </c>
      <c r="G36" s="127">
        <v>155.600114389787</v>
      </c>
      <c r="H36" s="127">
        <v>236.25141310067201</v>
      </c>
      <c r="I36" s="127">
        <v>482.161795592727</v>
      </c>
      <c r="K36" s="66">
        <v>2.1</v>
      </c>
      <c r="L36" s="66">
        <v>121.31320592004199</v>
      </c>
      <c r="M36" s="66">
        <v>123.790716040172</v>
      </c>
      <c r="N36" s="66">
        <v>126.708702474802</v>
      </c>
      <c r="O36" s="66">
        <v>135.983052244541</v>
      </c>
      <c r="P36" s="66">
        <v>162.932050636231</v>
      </c>
      <c r="Q36" s="66">
        <v>215.17209639214599</v>
      </c>
      <c r="R36" s="66">
        <v>318.73569587316899</v>
      </c>
      <c r="S36" s="66">
        <v>635.19641535783796</v>
      </c>
      <c r="T36" s="66">
        <v>649.95609949762002</v>
      </c>
      <c r="V36" s="126">
        <v>2.1</v>
      </c>
      <c r="W36" s="126">
        <v>271.20256819999997</v>
      </c>
      <c r="X36" s="126">
        <v>277.3963435</v>
      </c>
      <c r="Y36" s="126">
        <v>283.75435859999999</v>
      </c>
      <c r="Z36" s="126">
        <v>297.3567382</v>
      </c>
      <c r="AA36" s="126">
        <v>333.39956840000002</v>
      </c>
      <c r="AB36" s="126">
        <v>410.38489900000002</v>
      </c>
      <c r="AC36" s="126">
        <v>592.76681310000004</v>
      </c>
      <c r="AD36" s="126">
        <v>1182.858379</v>
      </c>
      <c r="AF36" s="112">
        <v>2.1</v>
      </c>
      <c r="AG36" s="112">
        <v>39.622329811527798</v>
      </c>
      <c r="AH36" s="112"/>
      <c r="AI36" s="114"/>
      <c r="AJ36" s="113">
        <v>2.1</v>
      </c>
      <c r="AK36" s="113">
        <v>95.918727188712595</v>
      </c>
      <c r="AL36" s="113"/>
      <c r="AN36" s="157">
        <v>2.1</v>
      </c>
      <c r="AO36" s="157">
        <v>6652.3234160000002</v>
      </c>
      <c r="AP36" s="157">
        <v>7294.0898379999999</v>
      </c>
      <c r="AQ36" s="157">
        <v>7997.8626770000001</v>
      </c>
      <c r="AR36" s="157">
        <v>8183.8819299999996</v>
      </c>
      <c r="AS36" s="157">
        <v>10303.03068</v>
      </c>
      <c r="AT36" s="157">
        <v>16329.070040000001</v>
      </c>
      <c r="AV36" s="66">
        <v>2.1</v>
      </c>
      <c r="AW36" s="66">
        <v>2103.3776083889302</v>
      </c>
      <c r="AX36" s="66">
        <v>2648.2590026449202</v>
      </c>
      <c r="AY36" s="66">
        <v>3334.2049968362999</v>
      </c>
      <c r="AZ36" s="66">
        <v>4395.2898172295399</v>
      </c>
      <c r="BA36" s="66">
        <v>7815.6645070161503</v>
      </c>
      <c r="BB36" s="66">
        <v>11560.3756481367</v>
      </c>
    </row>
    <row r="37" spans="1:54" ht="15" x14ac:dyDescent="0.25">
      <c r="A37" s="127">
        <v>2.2000000000000002</v>
      </c>
      <c r="B37" s="127">
        <v>79.814911407869602</v>
      </c>
      <c r="C37" s="127">
        <v>83.531176588064099</v>
      </c>
      <c r="D37" s="127">
        <v>85.901563487951194</v>
      </c>
      <c r="E37" s="127">
        <v>93.939333288391495</v>
      </c>
      <c r="F37" s="127">
        <v>115.274465034344</v>
      </c>
      <c r="G37" s="127">
        <v>155.600114389787</v>
      </c>
      <c r="H37" s="127">
        <v>236.25141310067201</v>
      </c>
      <c r="I37" s="127">
        <v>482.161795592727</v>
      </c>
      <c r="K37" s="66">
        <v>2.2000000000000002</v>
      </c>
      <c r="L37" s="66">
        <v>118.21631826988001</v>
      </c>
      <c r="M37" s="66">
        <v>121.31320592004199</v>
      </c>
      <c r="N37" s="66">
        <v>123.617252551555</v>
      </c>
      <c r="O37" s="66">
        <v>135.983052244541</v>
      </c>
      <c r="P37" s="66">
        <v>162.932050636231</v>
      </c>
      <c r="Q37" s="66">
        <v>210.589636238118</v>
      </c>
      <c r="R37" s="66">
        <v>311.40375962672499</v>
      </c>
      <c r="S37" s="66">
        <v>620.436731218055</v>
      </c>
      <c r="T37" s="66">
        <v>649.95609949762002</v>
      </c>
      <c r="V37" s="126">
        <v>2.2000000000000002</v>
      </c>
      <c r="W37" s="126">
        <v>258.81501759999998</v>
      </c>
      <c r="X37" s="126">
        <v>265.0087929</v>
      </c>
      <c r="Y37" s="126">
        <v>270.77026890000002</v>
      </c>
      <c r="Z37" s="126">
        <v>283.75435859999999</v>
      </c>
      <c r="AA37" s="126">
        <v>326.06763210000003</v>
      </c>
      <c r="AB37" s="126">
        <v>401.21997859999999</v>
      </c>
      <c r="AC37" s="126">
        <v>579.01943259999996</v>
      </c>
      <c r="AD37" s="126">
        <v>1155.669488</v>
      </c>
      <c r="AF37" s="112">
        <v>2.2000000000000002</v>
      </c>
      <c r="AG37" s="112">
        <v>39.622329811527798</v>
      </c>
      <c r="AH37" s="112"/>
      <c r="AI37" s="114"/>
      <c r="AJ37" s="113">
        <v>2.2000000000000002</v>
      </c>
      <c r="AK37" s="113">
        <v>94.060594598615396</v>
      </c>
      <c r="AL37" s="113"/>
      <c r="AN37" s="157">
        <v>2.2000000000000002</v>
      </c>
      <c r="AO37" s="157">
        <v>6353.1424509999997</v>
      </c>
      <c r="AP37" s="157">
        <v>7128.2226710000004</v>
      </c>
      <c r="AQ37" s="157">
        <v>7815.7188260000003</v>
      </c>
      <c r="AR37" s="157">
        <v>8183.8819299999996</v>
      </c>
      <c r="AS37" s="157">
        <v>10068.41023</v>
      </c>
      <c r="AT37" s="157">
        <v>15957.492190000001</v>
      </c>
      <c r="AV37" s="66">
        <v>2.2000000000000002</v>
      </c>
      <c r="AW37" s="66">
        <v>2103.3776083889302</v>
      </c>
      <c r="AX37" s="66">
        <v>2648.2590026449202</v>
      </c>
      <c r="AY37" s="66">
        <v>3258.24713533263</v>
      </c>
      <c r="AZ37" s="66">
        <v>4395.2898172295399</v>
      </c>
      <c r="BA37" s="66">
        <v>7637.5087300984396</v>
      </c>
      <c r="BB37" s="66">
        <v>11560.3756481367</v>
      </c>
    </row>
    <row r="38" spans="1:54" ht="15" x14ac:dyDescent="0.25">
      <c r="A38" s="127">
        <v>2.2999999999999998</v>
      </c>
      <c r="B38" s="127">
        <v>79.814911407869602</v>
      </c>
      <c r="C38" s="127">
        <v>81.6730439979669</v>
      </c>
      <c r="D38" s="127">
        <v>85.901563487951194</v>
      </c>
      <c r="E38" s="127">
        <v>93.939333288391495</v>
      </c>
      <c r="F38" s="127">
        <v>115.274465034344</v>
      </c>
      <c r="G38" s="127">
        <v>152.85063829737001</v>
      </c>
      <c r="H38" s="127">
        <v>230.75246091583901</v>
      </c>
      <c r="I38" s="127">
        <v>471.28623885815102</v>
      </c>
      <c r="K38" s="66">
        <v>2.2999999999999998</v>
      </c>
      <c r="L38" s="66">
        <v>115.73880814975</v>
      </c>
      <c r="M38" s="66">
        <v>121.31320592004199</v>
      </c>
      <c r="N38" s="66">
        <v>123.617252551555</v>
      </c>
      <c r="O38" s="66">
        <v>132.89160232129399</v>
      </c>
      <c r="P38" s="66">
        <v>159.266082513009</v>
      </c>
      <c r="Q38" s="66">
        <v>210.589636238118</v>
      </c>
      <c r="R38" s="66">
        <v>311.40375962672499</v>
      </c>
      <c r="S38" s="66">
        <v>620.436731218055</v>
      </c>
      <c r="T38" s="66">
        <v>635.19641535783796</v>
      </c>
      <c r="V38" s="126">
        <v>2.2999999999999998</v>
      </c>
      <c r="W38" s="126">
        <v>252.62124230000001</v>
      </c>
      <c r="X38" s="126">
        <v>258.81501759999998</v>
      </c>
      <c r="Y38" s="126">
        <v>264.58736909999999</v>
      </c>
      <c r="Z38" s="126">
        <v>277.57145869999999</v>
      </c>
      <c r="AA38" s="126">
        <v>318.7356959</v>
      </c>
      <c r="AB38" s="126">
        <v>392.05505829999998</v>
      </c>
      <c r="AC38" s="126">
        <v>553.35765579999997</v>
      </c>
      <c r="AD38" s="126">
        <v>1130.0342470000001</v>
      </c>
      <c r="AF38" s="112">
        <v>2.2999999999999998</v>
      </c>
      <c r="AG38" s="112">
        <v>38.720415472812</v>
      </c>
      <c r="AH38" s="112"/>
      <c r="AI38" s="114"/>
      <c r="AJ38" s="113">
        <v>2.2999999999999998</v>
      </c>
      <c r="AK38" s="113">
        <v>94.060594598615396</v>
      </c>
      <c r="AL38" s="113"/>
      <c r="AN38" s="157">
        <v>2.2999999999999998</v>
      </c>
      <c r="AO38" s="157">
        <v>6208.2024499999998</v>
      </c>
      <c r="AP38" s="157">
        <v>6807.3394600000001</v>
      </c>
      <c r="AQ38" s="157">
        <v>7463.8324060000004</v>
      </c>
      <c r="AR38" s="157">
        <v>8183.8819299999996</v>
      </c>
      <c r="AS38" s="157">
        <v>10068.41023</v>
      </c>
      <c r="AT38" s="157">
        <v>15957.492190000001</v>
      </c>
      <c r="AV38" s="66">
        <v>2.2999999999999998</v>
      </c>
      <c r="AW38" s="66">
        <v>2056.0977150039898</v>
      </c>
      <c r="AX38" s="66">
        <v>2587.8027455297402</v>
      </c>
      <c r="AY38" s="66">
        <v>3183.8394342677998</v>
      </c>
      <c r="AZ38" s="66">
        <v>4295.3044689236704</v>
      </c>
      <c r="BA38" s="66">
        <v>7464.2205973588098</v>
      </c>
      <c r="BB38" s="66">
        <v>11560.3756481367</v>
      </c>
    </row>
    <row r="39" spans="1:54" ht="15" x14ac:dyDescent="0.25">
      <c r="A39" s="127">
        <v>2.4</v>
      </c>
      <c r="B39" s="127">
        <v>77.956778817772303</v>
      </c>
      <c r="C39" s="127">
        <v>81.6730439979669</v>
      </c>
      <c r="D39" s="127">
        <v>85.901563487951194</v>
      </c>
      <c r="E39" s="127">
        <v>92.084463334443697</v>
      </c>
      <c r="F39" s="127">
        <v>112.52498894192701</v>
      </c>
      <c r="G39" s="127">
        <v>149.18467017414801</v>
      </c>
      <c r="H39" s="127">
        <v>230.75246091583901</v>
      </c>
      <c r="I39" s="127">
        <v>471.28623885815102</v>
      </c>
      <c r="K39" s="66">
        <v>2.4</v>
      </c>
      <c r="L39" s="66">
        <v>115.73880814975</v>
      </c>
      <c r="M39" s="66">
        <v>118.21631826988001</v>
      </c>
      <c r="N39" s="66">
        <v>123.617252551555</v>
      </c>
      <c r="O39" s="66">
        <v>132.89160232129399</v>
      </c>
      <c r="P39" s="66">
        <v>159.266082513009</v>
      </c>
      <c r="Q39" s="66">
        <v>206.00717608408999</v>
      </c>
      <c r="R39" s="66">
        <v>304.07182338028099</v>
      </c>
      <c r="S39" s="66">
        <v>606.45387255931496</v>
      </c>
      <c r="T39" s="66">
        <v>635.19641535783796</v>
      </c>
      <c r="V39" s="126">
        <v>2.4</v>
      </c>
      <c r="W39" s="126">
        <v>241.47244670000001</v>
      </c>
      <c r="X39" s="126">
        <v>247.04684449999999</v>
      </c>
      <c r="Y39" s="126">
        <v>252.8398593</v>
      </c>
      <c r="Z39" s="126">
        <v>264.58736909999999</v>
      </c>
      <c r="AA39" s="126">
        <v>311.4037596</v>
      </c>
      <c r="AB39" s="126">
        <v>382.89013799999998</v>
      </c>
      <c r="AC39" s="126">
        <v>540.52676729999996</v>
      </c>
      <c r="AD39" s="126">
        <v>1103.6221800000001</v>
      </c>
      <c r="AF39" s="112">
        <v>2.4</v>
      </c>
      <c r="AG39" s="112">
        <v>38.720415472812</v>
      </c>
      <c r="AH39" s="112"/>
      <c r="AI39" s="114"/>
      <c r="AJ39" s="113">
        <v>2.4</v>
      </c>
      <c r="AK39" s="113">
        <v>94.060594598615396</v>
      </c>
      <c r="AL39" s="113"/>
      <c r="AN39" s="157">
        <v>2.4</v>
      </c>
      <c r="AO39" s="157">
        <v>5929.1735710000003</v>
      </c>
      <c r="AP39" s="157">
        <v>6501.1827730000005</v>
      </c>
      <c r="AQ39" s="157">
        <v>7128.2226710000004</v>
      </c>
      <c r="AR39" s="157">
        <v>8183.8819299999996</v>
      </c>
      <c r="AS39" s="157">
        <v>10068.41023</v>
      </c>
      <c r="AT39" s="157">
        <v>15957.492190000001</v>
      </c>
      <c r="AV39" s="66">
        <v>2.4</v>
      </c>
      <c r="AW39" s="66">
        <v>2056.0977150039898</v>
      </c>
      <c r="AX39" s="66">
        <v>2528.8966488534202</v>
      </c>
      <c r="AY39" s="66">
        <v>3183.8394342677998</v>
      </c>
      <c r="AZ39" s="66">
        <v>4295.3044689236704</v>
      </c>
      <c r="BA39" s="66">
        <v>7464.2205973588098</v>
      </c>
      <c r="BB39" s="66">
        <v>11296.9786914413</v>
      </c>
    </row>
    <row r="40" spans="1:54" ht="15" x14ac:dyDescent="0.25">
      <c r="A40" s="127">
        <v>2.5</v>
      </c>
      <c r="B40" s="127">
        <v>77.956778817772303</v>
      </c>
      <c r="C40" s="127">
        <v>79.814911407869602</v>
      </c>
      <c r="D40" s="127">
        <v>85.901563487951194</v>
      </c>
      <c r="E40" s="127">
        <v>92.084463334443697</v>
      </c>
      <c r="F40" s="127">
        <v>112.52498894192701</v>
      </c>
      <c r="G40" s="127">
        <v>149.18467017414801</v>
      </c>
      <c r="H40" s="127">
        <v>225.25350873100601</v>
      </c>
      <c r="I40" s="127">
        <v>460.41068212357499</v>
      </c>
      <c r="K40" s="66">
        <v>2.5</v>
      </c>
      <c r="L40" s="66">
        <v>115.73880814975</v>
      </c>
      <c r="M40" s="66">
        <v>118.21631826988001</v>
      </c>
      <c r="N40" s="66">
        <v>121.144092612958</v>
      </c>
      <c r="O40" s="66">
        <v>129.800152398048</v>
      </c>
      <c r="P40" s="66">
        <v>155.600114389787</v>
      </c>
      <c r="Q40" s="66">
        <v>206.00717608408999</v>
      </c>
      <c r="R40" s="66">
        <v>304.07182338028099</v>
      </c>
      <c r="S40" s="66">
        <v>606.45387255931496</v>
      </c>
      <c r="T40" s="66">
        <v>620.436731218055</v>
      </c>
      <c r="V40" s="126">
        <v>2.5</v>
      </c>
      <c r="W40" s="126">
        <v>235.89804899999999</v>
      </c>
      <c r="X40" s="126">
        <v>241.47244670000001</v>
      </c>
      <c r="Y40" s="126">
        <v>247.2752495</v>
      </c>
      <c r="Z40" s="126">
        <v>259.0227592</v>
      </c>
      <c r="AA40" s="126">
        <v>304.07182340000003</v>
      </c>
      <c r="AB40" s="126">
        <v>373.72521769999997</v>
      </c>
      <c r="AC40" s="126">
        <v>540.52676729999996</v>
      </c>
      <c r="AD40" s="126">
        <v>1078.7637649999999</v>
      </c>
      <c r="AF40" s="112">
        <v>2.5</v>
      </c>
      <c r="AG40" s="112">
        <v>37.839031210905198</v>
      </c>
      <c r="AH40" s="112"/>
      <c r="AI40" s="114"/>
      <c r="AJ40" s="113">
        <v>2.5</v>
      </c>
      <c r="AK40" s="113">
        <v>94.060594598615396</v>
      </c>
      <c r="AL40" s="113"/>
      <c r="AN40" s="157">
        <v>2.5</v>
      </c>
      <c r="AO40" s="157">
        <v>5661.770896</v>
      </c>
      <c r="AP40" s="157">
        <v>6208.2024499999998</v>
      </c>
      <c r="AQ40" s="157">
        <v>6807.3394600000001</v>
      </c>
      <c r="AR40" s="157">
        <v>8183.8819299999996</v>
      </c>
      <c r="AS40" s="157">
        <v>10068.41023</v>
      </c>
      <c r="AT40" s="157">
        <v>15594.649439999999</v>
      </c>
      <c r="AV40" s="66">
        <v>2.5</v>
      </c>
      <c r="AW40" s="66">
        <v>2056.0977150039898</v>
      </c>
      <c r="AX40" s="66">
        <v>2471.5407126159498</v>
      </c>
      <c r="AY40" s="66">
        <v>3111.7569738612401</v>
      </c>
      <c r="AZ40" s="66">
        <v>4197.6443612760904</v>
      </c>
      <c r="BA40" s="66">
        <v>7464.2205973588098</v>
      </c>
      <c r="BB40" s="66">
        <v>11296.9786914413</v>
      </c>
    </row>
    <row r="41" spans="1:54" ht="15" x14ac:dyDescent="0.25">
      <c r="A41" s="127">
        <v>2.6</v>
      </c>
      <c r="B41" s="127">
        <v>76.098646227675005</v>
      </c>
      <c r="C41" s="127">
        <v>79.814911407869602</v>
      </c>
      <c r="D41" s="127">
        <v>84.046693534003495</v>
      </c>
      <c r="E41" s="127">
        <v>89.611303395846704</v>
      </c>
      <c r="F41" s="127">
        <v>112.52498894192701</v>
      </c>
      <c r="G41" s="127">
        <v>149.18467017414801</v>
      </c>
      <c r="H41" s="127">
        <v>225.25350873100601</v>
      </c>
      <c r="I41" s="127">
        <v>460.41068212357499</v>
      </c>
      <c r="K41" s="66">
        <v>2.6</v>
      </c>
      <c r="L41" s="66">
        <v>113.261298029621</v>
      </c>
      <c r="M41" s="66">
        <v>115.73880814975</v>
      </c>
      <c r="N41" s="66">
        <v>121.144092612958</v>
      </c>
      <c r="O41" s="66">
        <v>129.800152398048</v>
      </c>
      <c r="P41" s="66">
        <v>155.600114389787</v>
      </c>
      <c r="Q41" s="66">
        <v>200.50822389925699</v>
      </c>
      <c r="R41" s="66">
        <v>296.73988713383699</v>
      </c>
      <c r="S41" s="66">
        <v>593.24783938161499</v>
      </c>
      <c r="T41" s="66">
        <v>620.436731218055</v>
      </c>
      <c r="V41" s="126">
        <v>2.6</v>
      </c>
      <c r="W41" s="126">
        <v>230.94302870000001</v>
      </c>
      <c r="X41" s="126">
        <v>235.89804899999999</v>
      </c>
      <c r="Y41" s="126">
        <v>241.71063960000001</v>
      </c>
      <c r="Z41" s="126">
        <v>252.8398593</v>
      </c>
      <c r="AA41" s="126">
        <v>296.73988709999998</v>
      </c>
      <c r="AB41" s="126">
        <v>365.47678939999997</v>
      </c>
      <c r="AC41" s="126">
        <v>528.61237089999997</v>
      </c>
      <c r="AD41" s="126">
        <v>1054.6821749999999</v>
      </c>
      <c r="AF41" s="112">
        <v>2.6</v>
      </c>
      <c r="AG41" s="112">
        <v>37.839031210905198</v>
      </c>
      <c r="AH41" s="112"/>
      <c r="AI41" s="114"/>
      <c r="AJ41" s="113">
        <v>2.6</v>
      </c>
      <c r="AK41" s="113">
        <v>91.583084478485702</v>
      </c>
      <c r="AL41" s="113"/>
      <c r="AN41" s="157">
        <v>2.6</v>
      </c>
      <c r="AO41" s="157">
        <v>5406.7695039999999</v>
      </c>
      <c r="AP41" s="157">
        <v>5929.1735710000003</v>
      </c>
      <c r="AQ41" s="157">
        <v>6652.3234160000002</v>
      </c>
      <c r="AR41" s="157">
        <v>7997.8626770000001</v>
      </c>
      <c r="AS41" s="157">
        <v>10068.41023</v>
      </c>
      <c r="AT41" s="157">
        <v>15239.19794</v>
      </c>
      <c r="AV41" s="66">
        <v>2.6</v>
      </c>
      <c r="AW41" s="66">
        <v>2056.0977150039898</v>
      </c>
      <c r="AX41" s="66">
        <v>2471.5407126159498</v>
      </c>
      <c r="AY41" s="66">
        <v>3111.7569738612401</v>
      </c>
      <c r="AZ41" s="66">
        <v>4197.6443612760904</v>
      </c>
      <c r="BA41" s="66">
        <v>7293.8530511260296</v>
      </c>
      <c r="BB41" s="66">
        <v>11040.3010448656</v>
      </c>
    </row>
    <row r="42" spans="1:54" ht="15" x14ac:dyDescent="0.25">
      <c r="A42" s="127">
        <v>2.7</v>
      </c>
      <c r="B42" s="127">
        <v>76.098646227675005</v>
      </c>
      <c r="C42" s="127">
        <v>79.814911407869602</v>
      </c>
      <c r="D42" s="127">
        <v>84.046693534003495</v>
      </c>
      <c r="E42" s="127">
        <v>89.611303395846704</v>
      </c>
      <c r="F42" s="127">
        <v>110.69200488031601</v>
      </c>
      <c r="G42" s="127">
        <v>145.51870205092601</v>
      </c>
      <c r="H42" s="127">
        <v>225.25350873100601</v>
      </c>
      <c r="I42" s="127">
        <v>460.41068212357499</v>
      </c>
      <c r="K42" s="66">
        <v>2.7</v>
      </c>
      <c r="L42" s="66">
        <v>110.164410379458</v>
      </c>
      <c r="M42" s="66">
        <v>115.73880814975</v>
      </c>
      <c r="N42" s="66">
        <v>121.144092612958</v>
      </c>
      <c r="O42" s="66">
        <v>126.708702474802</v>
      </c>
      <c r="P42" s="66">
        <v>152.85063829737001</v>
      </c>
      <c r="Q42" s="66">
        <v>200.50822389925699</v>
      </c>
      <c r="R42" s="66">
        <v>296.73988713383699</v>
      </c>
      <c r="S42" s="66">
        <v>593.24783938161499</v>
      </c>
      <c r="T42" s="66">
        <v>606.45387255931496</v>
      </c>
      <c r="V42" s="126">
        <v>2.7</v>
      </c>
      <c r="W42" s="126">
        <v>225.36863099999999</v>
      </c>
      <c r="X42" s="126">
        <v>230.94302870000001</v>
      </c>
      <c r="Y42" s="126">
        <v>236.14602980000001</v>
      </c>
      <c r="Z42" s="126">
        <v>247.2752495</v>
      </c>
      <c r="AA42" s="126">
        <v>290.32444290000001</v>
      </c>
      <c r="AB42" s="126">
        <v>357.22836119999999</v>
      </c>
      <c r="AC42" s="126">
        <v>516.69797449999999</v>
      </c>
      <c r="AD42" s="126">
        <v>1030.6005849999999</v>
      </c>
      <c r="AF42" s="112">
        <v>2.7</v>
      </c>
      <c r="AG42" s="112">
        <v>36.977709704205203</v>
      </c>
      <c r="AH42" s="112"/>
      <c r="AI42" s="114"/>
      <c r="AJ42" s="113">
        <v>2.7</v>
      </c>
      <c r="AK42" s="113">
        <v>91.583084478485702</v>
      </c>
      <c r="AL42" s="113"/>
      <c r="AN42" s="157">
        <v>2.7</v>
      </c>
      <c r="AO42" s="157">
        <v>5284.3068290000001</v>
      </c>
      <c r="AP42" s="157">
        <v>5793.534533</v>
      </c>
      <c r="AQ42" s="157">
        <v>6353.1424509999997</v>
      </c>
      <c r="AR42" s="157">
        <v>7815.7188260000003</v>
      </c>
      <c r="AS42" s="157">
        <v>10068.41023</v>
      </c>
      <c r="AT42" s="157">
        <v>15239.19794</v>
      </c>
      <c r="AV42" s="66">
        <v>2.7</v>
      </c>
      <c r="AW42" s="66">
        <v>2056.0977150039898</v>
      </c>
      <c r="AX42" s="66">
        <v>2414.9598565978999</v>
      </c>
      <c r="AY42" s="66">
        <v>3040.44959367412</v>
      </c>
      <c r="AZ42" s="66">
        <v>4197.6443612760904</v>
      </c>
      <c r="BA42" s="66">
        <v>7293.8530511260296</v>
      </c>
      <c r="BB42" s="66">
        <v>11040.3010448656</v>
      </c>
    </row>
    <row r="43" spans="1:54" ht="15" x14ac:dyDescent="0.25">
      <c r="A43" s="127">
        <v>2.8</v>
      </c>
      <c r="B43" s="127">
        <v>74.859891167610201</v>
      </c>
      <c r="C43" s="127">
        <v>79.814911407869602</v>
      </c>
      <c r="D43" s="127">
        <v>81.573533595406403</v>
      </c>
      <c r="E43" s="127">
        <v>89.611303395846704</v>
      </c>
      <c r="F43" s="127">
        <v>110.69200488031601</v>
      </c>
      <c r="G43" s="127">
        <v>145.51870205092601</v>
      </c>
      <c r="H43" s="127">
        <v>220.67104857697899</v>
      </c>
      <c r="I43" s="127">
        <v>449.53512538899798</v>
      </c>
      <c r="K43" s="66">
        <v>2.8</v>
      </c>
      <c r="L43" s="66">
        <v>110.164410379458</v>
      </c>
      <c r="M43" s="66">
        <v>115.73880814975</v>
      </c>
      <c r="N43" s="66">
        <v>118.052642689712</v>
      </c>
      <c r="O43" s="66">
        <v>126.708702474802</v>
      </c>
      <c r="P43" s="66">
        <v>152.85063829737001</v>
      </c>
      <c r="Q43" s="66">
        <v>200.50822389925699</v>
      </c>
      <c r="R43" s="66">
        <v>296.73988713383699</v>
      </c>
      <c r="S43" s="66">
        <v>579.26498072287404</v>
      </c>
      <c r="T43" s="66">
        <v>606.45387255931496</v>
      </c>
      <c r="V43" s="126">
        <v>2.8</v>
      </c>
      <c r="W43" s="126">
        <v>220.41361069999999</v>
      </c>
      <c r="X43" s="126">
        <v>225.36863099999999</v>
      </c>
      <c r="Y43" s="126">
        <v>230.58141989999999</v>
      </c>
      <c r="Z43" s="126">
        <v>241.71063960000001</v>
      </c>
      <c r="AA43" s="126">
        <v>283.90899869999998</v>
      </c>
      <c r="AB43" s="126">
        <v>357.22836119999999</v>
      </c>
      <c r="AC43" s="126">
        <v>504.7835781</v>
      </c>
      <c r="AD43" s="126">
        <v>1006.518995</v>
      </c>
      <c r="AF43" s="112">
        <v>2.8</v>
      </c>
      <c r="AG43" s="112">
        <v>36.977709704205203</v>
      </c>
      <c r="AH43" s="112"/>
      <c r="AI43" s="114"/>
      <c r="AJ43" s="113">
        <v>2.8</v>
      </c>
      <c r="AK43" s="113">
        <v>89.724951888388404</v>
      </c>
      <c r="AL43" s="113"/>
      <c r="AN43" s="157">
        <v>2.8</v>
      </c>
      <c r="AO43" s="157">
        <v>5046.3572020000001</v>
      </c>
      <c r="AP43" s="157">
        <v>5661.770896</v>
      </c>
      <c r="AQ43" s="157">
        <v>6208.2024499999998</v>
      </c>
      <c r="AR43" s="157">
        <v>7637.4503750000003</v>
      </c>
      <c r="AS43" s="157">
        <v>10068.41023</v>
      </c>
      <c r="AT43" s="157">
        <v>14892.481540000001</v>
      </c>
      <c r="AV43" s="66">
        <v>2.8</v>
      </c>
      <c r="AW43" s="66">
        <v>2008.8178216190499</v>
      </c>
      <c r="AX43" s="66">
        <v>2414.9598565978999</v>
      </c>
      <c r="AY43" s="66">
        <v>3040.44959367412</v>
      </c>
      <c r="AZ43" s="66">
        <v>4101.5344140673496</v>
      </c>
      <c r="BA43" s="66">
        <v>7293.8530511260296</v>
      </c>
      <c r="BB43" s="66">
        <v>10788.998846385701</v>
      </c>
    </row>
    <row r="44" spans="1:54" ht="15" x14ac:dyDescent="0.25">
      <c r="A44" s="127">
        <v>2.9</v>
      </c>
      <c r="B44" s="127">
        <v>74.859891167610201</v>
      </c>
      <c r="C44" s="127">
        <v>77.956778817772303</v>
      </c>
      <c r="D44" s="127">
        <v>81.573533595406403</v>
      </c>
      <c r="E44" s="127">
        <v>89.611303395846704</v>
      </c>
      <c r="F44" s="127">
        <v>110.69200488031601</v>
      </c>
      <c r="G44" s="127">
        <v>145.51870205092601</v>
      </c>
      <c r="H44" s="127">
        <v>220.67104857697899</v>
      </c>
      <c r="I44" s="127">
        <v>449.53512538899798</v>
      </c>
      <c r="K44" s="66">
        <v>2.9</v>
      </c>
      <c r="L44" s="66">
        <v>110.164410379458</v>
      </c>
      <c r="M44" s="66">
        <v>113.261298029621</v>
      </c>
      <c r="N44" s="66">
        <v>118.052642689712</v>
      </c>
      <c r="O44" s="66">
        <v>123.617252551555</v>
      </c>
      <c r="P44" s="66">
        <v>149.18467017414801</v>
      </c>
      <c r="Q44" s="66">
        <v>195.92576374523</v>
      </c>
      <c r="R44" s="66">
        <v>290.32444291819797</v>
      </c>
      <c r="S44" s="66">
        <v>579.26498072287404</v>
      </c>
      <c r="T44" s="66">
        <v>593.24783938161499</v>
      </c>
      <c r="V44" s="126">
        <v>2.9</v>
      </c>
      <c r="W44" s="126">
        <v>215.45859050000001</v>
      </c>
      <c r="X44" s="126">
        <v>220.41361069999999</v>
      </c>
      <c r="Y44" s="126">
        <v>225.63509999999999</v>
      </c>
      <c r="Z44" s="126">
        <v>241.71063960000001</v>
      </c>
      <c r="AA44" s="126">
        <v>277.49355450000002</v>
      </c>
      <c r="AB44" s="126">
        <v>348.97993289999999</v>
      </c>
      <c r="AC44" s="126">
        <v>504.7835781</v>
      </c>
      <c r="AD44" s="126">
        <v>1006.518995</v>
      </c>
      <c r="AF44" s="112">
        <v>2.9</v>
      </c>
      <c r="AG44" s="112">
        <v>36.977709704205203</v>
      </c>
      <c r="AH44" s="112"/>
      <c r="AI44" s="114"/>
      <c r="AJ44" s="113">
        <v>2.9</v>
      </c>
      <c r="AK44" s="113">
        <v>89.724951888388404</v>
      </c>
      <c r="AL44" s="113"/>
      <c r="AN44" s="157">
        <v>2.9</v>
      </c>
      <c r="AO44" s="157">
        <v>4931.6453289999999</v>
      </c>
      <c r="AP44" s="157">
        <v>5406.7695039999999</v>
      </c>
      <c r="AQ44" s="157">
        <v>6067.1378510000004</v>
      </c>
      <c r="AR44" s="157">
        <v>7637.4503750000003</v>
      </c>
      <c r="AS44" s="157">
        <v>10068.41023</v>
      </c>
      <c r="AT44" s="157">
        <v>14553.828310000001</v>
      </c>
      <c r="AV44" s="66">
        <v>2.9</v>
      </c>
      <c r="AW44" s="66">
        <v>1963.0880886729501</v>
      </c>
      <c r="AX44" s="66">
        <v>2359.9291610187101</v>
      </c>
      <c r="AY44" s="66">
        <v>2971.46745414527</v>
      </c>
      <c r="AZ44" s="66">
        <v>4101.5344140673496</v>
      </c>
      <c r="BA44" s="66">
        <v>7128.3531490713303</v>
      </c>
      <c r="BB44" s="66">
        <v>10788.998846385701</v>
      </c>
    </row>
    <row r="45" spans="1:54" ht="15" x14ac:dyDescent="0.25">
      <c r="A45" s="127">
        <v>3</v>
      </c>
      <c r="B45" s="127">
        <v>74.859891167610201</v>
      </c>
      <c r="C45" s="127">
        <v>77.956778817772303</v>
      </c>
      <c r="D45" s="127">
        <v>81.573533595406403</v>
      </c>
      <c r="E45" s="127">
        <v>87.756433441899006</v>
      </c>
      <c r="F45" s="127">
        <v>107.9425287879</v>
      </c>
      <c r="G45" s="127">
        <v>145.51870205092601</v>
      </c>
      <c r="H45" s="127">
        <v>220.67104857697899</v>
      </c>
      <c r="I45" s="127">
        <v>449.53512538899798</v>
      </c>
      <c r="K45" s="66">
        <v>3</v>
      </c>
      <c r="L45" s="66">
        <v>110.164410379458</v>
      </c>
      <c r="M45" s="66">
        <v>113.261298029621</v>
      </c>
      <c r="N45" s="66">
        <v>115.57948275111499</v>
      </c>
      <c r="O45" s="66">
        <v>123.617252551555</v>
      </c>
      <c r="P45" s="66">
        <v>149.18467017414801</v>
      </c>
      <c r="Q45" s="66">
        <v>195.92576374523</v>
      </c>
      <c r="R45" s="66">
        <v>290.32444291819797</v>
      </c>
      <c r="S45" s="66">
        <v>579.26498072287404</v>
      </c>
      <c r="T45" s="66">
        <v>593.24783938161499</v>
      </c>
      <c r="V45" s="126">
        <v>3</v>
      </c>
      <c r="W45" s="126">
        <v>210.50357020000001</v>
      </c>
      <c r="X45" s="126">
        <v>215.45859050000001</v>
      </c>
      <c r="Y45" s="126">
        <v>220.07049019999999</v>
      </c>
      <c r="Z45" s="126">
        <v>236.14602980000001</v>
      </c>
      <c r="AA45" s="126">
        <v>277.49355450000002</v>
      </c>
      <c r="AB45" s="126">
        <v>348.97993289999999</v>
      </c>
      <c r="AC45" s="126">
        <v>492.86918170000001</v>
      </c>
      <c r="AD45" s="126">
        <v>983.99105629999997</v>
      </c>
      <c r="AF45" s="112">
        <v>3</v>
      </c>
      <c r="AG45" s="112">
        <v>36.977709704205203</v>
      </c>
      <c r="AH45" s="112"/>
      <c r="AI45" s="114"/>
      <c r="AJ45" s="113">
        <v>3</v>
      </c>
      <c r="AK45" s="113">
        <v>89.724951888388404</v>
      </c>
      <c r="AL45" s="113"/>
      <c r="AN45" s="157">
        <v>3</v>
      </c>
      <c r="AO45" s="157">
        <v>4819.2586970000002</v>
      </c>
      <c r="AP45" s="157">
        <v>5284.3068290000001</v>
      </c>
      <c r="AQ45" s="157">
        <v>5929.1735710000003</v>
      </c>
      <c r="AR45" s="157">
        <v>7463.8324060000004</v>
      </c>
      <c r="AS45" s="157">
        <v>10068.41023</v>
      </c>
      <c r="AT45" s="157">
        <v>14553.828310000001</v>
      </c>
      <c r="AV45" s="66">
        <v>3</v>
      </c>
      <c r="AW45" s="66">
        <v>1963.0880886729501</v>
      </c>
      <c r="AX45" s="66">
        <v>2359.9291610187101</v>
      </c>
      <c r="AY45" s="66">
        <v>2971.46745414527</v>
      </c>
      <c r="AZ45" s="66">
        <v>4101.5344140673496</v>
      </c>
      <c r="BA45" s="66">
        <v>7128.3531490713303</v>
      </c>
      <c r="BB45" s="66">
        <v>10788.998846385701</v>
      </c>
    </row>
    <row r="46" spans="1:54" ht="15" x14ac:dyDescent="0.25">
      <c r="A46" s="127">
        <v>3.1</v>
      </c>
      <c r="B46" s="127">
        <v>74.859891167610201</v>
      </c>
      <c r="C46" s="127">
        <v>77.956778817772303</v>
      </c>
      <c r="D46" s="127">
        <v>79.718663641458704</v>
      </c>
      <c r="E46" s="127">
        <v>87.756433441899006</v>
      </c>
      <c r="F46" s="127">
        <v>107.9425287879</v>
      </c>
      <c r="G46" s="127">
        <v>141.85273392770401</v>
      </c>
      <c r="H46" s="127">
        <v>220.67104857697899</v>
      </c>
      <c r="I46" s="127">
        <v>439.43639413546299</v>
      </c>
      <c r="K46" s="66">
        <v>3.1</v>
      </c>
      <c r="L46" s="66">
        <v>107.68690025932899</v>
      </c>
      <c r="M46" s="66">
        <v>113.261298029621</v>
      </c>
      <c r="N46" s="66">
        <v>115.57948275111499</v>
      </c>
      <c r="O46" s="66">
        <v>123.617252551555</v>
      </c>
      <c r="P46" s="66">
        <v>149.18467017414801</v>
      </c>
      <c r="Q46" s="66">
        <v>192.259795622008</v>
      </c>
      <c r="R46" s="66">
        <v>283.90899870255998</v>
      </c>
      <c r="S46" s="66">
        <v>566.05894754517396</v>
      </c>
      <c r="T46" s="66">
        <v>593.24783938161499</v>
      </c>
      <c r="V46" s="126">
        <v>3.1</v>
      </c>
      <c r="W46" s="126">
        <v>205.54855000000001</v>
      </c>
      <c r="X46" s="126">
        <v>210.50357020000001</v>
      </c>
      <c r="Y46" s="126">
        <v>220.07049019999999</v>
      </c>
      <c r="Z46" s="126">
        <v>230.58141989999999</v>
      </c>
      <c r="AA46" s="126">
        <v>271.07811029999999</v>
      </c>
      <c r="AB46" s="126">
        <v>340.73150459999999</v>
      </c>
      <c r="AC46" s="126">
        <v>492.86918170000001</v>
      </c>
      <c r="AD46" s="126">
        <v>961.46311739999999</v>
      </c>
      <c r="AF46" s="112">
        <v>3.1</v>
      </c>
      <c r="AG46" s="112">
        <v>36.135994268648197</v>
      </c>
      <c r="AH46" s="112"/>
      <c r="AI46" s="114"/>
      <c r="AJ46" s="113">
        <v>3.1</v>
      </c>
      <c r="AK46" s="113">
        <v>89.724951888388404</v>
      </c>
      <c r="AL46" s="113"/>
      <c r="AN46" s="157">
        <v>3.1</v>
      </c>
      <c r="AO46" s="157">
        <v>4602.2362359999997</v>
      </c>
      <c r="AP46" s="157">
        <v>5164.1693949999999</v>
      </c>
      <c r="AQ46" s="157">
        <v>5793.534533</v>
      </c>
      <c r="AR46" s="157">
        <v>7294.0898379999999</v>
      </c>
      <c r="AS46" s="157">
        <v>10068.41023</v>
      </c>
      <c r="AT46" s="157">
        <v>14222.56632</v>
      </c>
      <c r="AV46" s="66">
        <v>3.1</v>
      </c>
      <c r="AW46" s="66">
        <v>1918.9085161657099</v>
      </c>
      <c r="AX46" s="66">
        <v>2306.44862587836</v>
      </c>
      <c r="AY46" s="66">
        <v>2904.0354750552701</v>
      </c>
      <c r="AZ46" s="66">
        <v>4008.5247877363099</v>
      </c>
      <c r="BA46" s="66">
        <v>7128.3531490713303</v>
      </c>
      <c r="BB46" s="66">
        <v>10543.072096001701</v>
      </c>
    </row>
    <row r="47" spans="1:54" ht="15" x14ac:dyDescent="0.25">
      <c r="A47" s="127">
        <v>3.2</v>
      </c>
      <c r="B47" s="127">
        <v>74.859891167610201</v>
      </c>
      <c r="C47" s="127">
        <v>76.098646227675005</v>
      </c>
      <c r="D47" s="127">
        <v>79.718663641458704</v>
      </c>
      <c r="E47" s="127">
        <v>87.756433441899006</v>
      </c>
      <c r="F47" s="127">
        <v>107.9425287879</v>
      </c>
      <c r="G47" s="127">
        <v>141.85273392770401</v>
      </c>
      <c r="H47" s="127">
        <v>215.17209639214599</v>
      </c>
      <c r="I47" s="127">
        <v>439.43639413546299</v>
      </c>
      <c r="K47" s="66">
        <v>3.2</v>
      </c>
      <c r="L47" s="66">
        <v>107.68690025932899</v>
      </c>
      <c r="M47" s="66">
        <v>110.164410379458</v>
      </c>
      <c r="N47" s="66">
        <v>115.57948275111499</v>
      </c>
      <c r="O47" s="66">
        <v>123.617252551555</v>
      </c>
      <c r="P47" s="66">
        <v>149.18467017414801</v>
      </c>
      <c r="Q47" s="66">
        <v>192.259795622008</v>
      </c>
      <c r="R47" s="66">
        <v>283.90899870255998</v>
      </c>
      <c r="S47" s="66">
        <v>566.05894754517396</v>
      </c>
      <c r="T47" s="66">
        <v>579.26498072287404</v>
      </c>
      <c r="V47" s="126">
        <v>3.2</v>
      </c>
      <c r="W47" s="126">
        <v>205.54855000000001</v>
      </c>
      <c r="X47" s="126">
        <v>210.50357020000001</v>
      </c>
      <c r="Y47" s="126">
        <v>215.1241703</v>
      </c>
      <c r="Z47" s="126">
        <v>225.63509999999999</v>
      </c>
      <c r="AA47" s="126">
        <v>271.07811029999999</v>
      </c>
      <c r="AB47" s="126">
        <v>340.73150459999999</v>
      </c>
      <c r="AC47" s="126">
        <v>481.8712774</v>
      </c>
      <c r="AD47" s="126">
        <v>961.46311739999999</v>
      </c>
      <c r="AF47" s="112">
        <v>3.2</v>
      </c>
      <c r="AG47" s="112">
        <v>36.135994268648197</v>
      </c>
      <c r="AH47" s="112"/>
      <c r="AI47" s="114"/>
      <c r="AJ47" s="113">
        <v>3.2</v>
      </c>
      <c r="AK47" s="113">
        <v>89.724951888388404</v>
      </c>
      <c r="AL47" s="113"/>
      <c r="AN47" s="157">
        <v>3.2</v>
      </c>
      <c r="AO47" s="157">
        <v>4497.6004059999996</v>
      </c>
      <c r="AP47" s="157">
        <v>5046.3572020000001</v>
      </c>
      <c r="AQ47" s="157">
        <v>5661.770896</v>
      </c>
      <c r="AR47" s="157">
        <v>7294.0898379999999</v>
      </c>
      <c r="AS47" s="157">
        <v>10068.41023</v>
      </c>
      <c r="AT47" s="157">
        <v>14222.56632</v>
      </c>
      <c r="AV47" s="66">
        <v>3.2</v>
      </c>
      <c r="AW47" s="66">
        <v>1918.9085161657099</v>
      </c>
      <c r="AX47" s="66">
        <v>2306.44862587836</v>
      </c>
      <c r="AY47" s="66">
        <v>2904.0354750552701</v>
      </c>
      <c r="AZ47" s="66">
        <v>4008.5247877363099</v>
      </c>
      <c r="BA47" s="66">
        <v>6965.7738335234799</v>
      </c>
      <c r="BB47" s="66">
        <v>10543.072096001701</v>
      </c>
    </row>
    <row r="48" spans="1:54" ht="15" x14ac:dyDescent="0.25">
      <c r="A48" s="127">
        <v>3.3</v>
      </c>
      <c r="B48" s="127">
        <v>74.859891167610201</v>
      </c>
      <c r="C48" s="127">
        <v>76.098646227675005</v>
      </c>
      <c r="D48" s="127">
        <v>79.718663641458704</v>
      </c>
      <c r="E48" s="127">
        <v>87.756433441899006</v>
      </c>
      <c r="F48" s="127">
        <v>107.9425287879</v>
      </c>
      <c r="G48" s="127">
        <v>141.85273392770401</v>
      </c>
      <c r="H48" s="127">
        <v>215.17209639214599</v>
      </c>
      <c r="I48" s="127">
        <v>439.43639413546299</v>
      </c>
      <c r="K48" s="66">
        <v>3.3</v>
      </c>
      <c r="L48" s="66">
        <v>105.209390139199</v>
      </c>
      <c r="M48" s="66">
        <v>110.164410379458</v>
      </c>
      <c r="N48" s="66">
        <v>115.57948275111499</v>
      </c>
      <c r="O48" s="66">
        <v>123.617252551555</v>
      </c>
      <c r="P48" s="66">
        <v>145.51870205092601</v>
      </c>
      <c r="Q48" s="66">
        <v>192.259795622008</v>
      </c>
      <c r="R48" s="66">
        <v>283.90899870255998</v>
      </c>
      <c r="S48" s="66">
        <v>566.05894754517396</v>
      </c>
      <c r="T48" s="66">
        <v>579.26498072287404</v>
      </c>
      <c r="V48" s="126">
        <v>3.3</v>
      </c>
      <c r="W48" s="126">
        <v>200.5935298</v>
      </c>
      <c r="X48" s="126">
        <v>205.54855000000001</v>
      </c>
      <c r="Y48" s="126">
        <v>210.17785040000001</v>
      </c>
      <c r="Z48" s="126">
        <v>225.63509999999999</v>
      </c>
      <c r="AA48" s="126">
        <v>264.66266610000002</v>
      </c>
      <c r="AB48" s="126">
        <v>333.39956840000002</v>
      </c>
      <c r="AC48" s="126">
        <v>481.8712774</v>
      </c>
      <c r="AD48" s="126">
        <v>939.71200390000001</v>
      </c>
      <c r="AF48" s="112">
        <v>3.3</v>
      </c>
      <c r="AG48" s="112">
        <v>36.135994268648197</v>
      </c>
      <c r="AH48" s="112"/>
      <c r="AI48" s="114"/>
      <c r="AJ48" s="113">
        <v>3.3</v>
      </c>
      <c r="AK48" s="113">
        <v>87.866819298291105</v>
      </c>
      <c r="AL48" s="113"/>
      <c r="AN48" s="157">
        <v>3.3</v>
      </c>
      <c r="AO48" s="157">
        <v>4295.3044689999997</v>
      </c>
      <c r="AP48" s="157">
        <v>4819.2586970000002</v>
      </c>
      <c r="AQ48" s="157">
        <v>5533.1075790000004</v>
      </c>
      <c r="AR48" s="157">
        <v>7128.2226710000004</v>
      </c>
      <c r="AS48" s="157">
        <v>10068.41023</v>
      </c>
      <c r="AT48" s="157">
        <v>13898.69557</v>
      </c>
      <c r="AV48" s="66">
        <v>3.3</v>
      </c>
      <c r="AW48" s="66">
        <v>1874.7289436584699</v>
      </c>
      <c r="AX48" s="66">
        <v>2253.7431709574398</v>
      </c>
      <c r="AY48" s="66">
        <v>2837.3785761846898</v>
      </c>
      <c r="AZ48" s="66">
        <v>3917.0653218441298</v>
      </c>
      <c r="BA48" s="66">
        <v>6965.7738335234799</v>
      </c>
      <c r="BB48" s="66">
        <v>10543.072096001701</v>
      </c>
    </row>
    <row r="49" spans="1:54" ht="15" x14ac:dyDescent="0.25">
      <c r="A49" s="127">
        <v>3.4</v>
      </c>
      <c r="B49" s="127">
        <v>74.859891167610201</v>
      </c>
      <c r="C49" s="127">
        <v>76.098646227675005</v>
      </c>
      <c r="D49" s="127">
        <v>79.718663641458704</v>
      </c>
      <c r="E49" s="127">
        <v>85.901563487951194</v>
      </c>
      <c r="F49" s="127">
        <v>105.193052695483</v>
      </c>
      <c r="G49" s="127">
        <v>141.85273392770401</v>
      </c>
      <c r="H49" s="127">
        <v>215.17209639214599</v>
      </c>
      <c r="I49" s="127">
        <v>439.43639413546299</v>
      </c>
      <c r="K49" s="66">
        <v>3.4</v>
      </c>
      <c r="L49" s="66">
        <v>105.209390139199</v>
      </c>
      <c r="M49" s="66">
        <v>110.164410379458</v>
      </c>
      <c r="N49" s="66">
        <v>113.106322812518</v>
      </c>
      <c r="O49" s="66">
        <v>121.144092612958</v>
      </c>
      <c r="P49" s="66">
        <v>145.51870205092601</v>
      </c>
      <c r="Q49" s="66">
        <v>192.259795622008</v>
      </c>
      <c r="R49" s="66">
        <v>283.90899870255998</v>
      </c>
      <c r="S49" s="66">
        <v>553.62973984851499</v>
      </c>
      <c r="T49" s="66">
        <v>579.26498072287404</v>
      </c>
      <c r="V49" s="126">
        <v>3.4</v>
      </c>
      <c r="W49" s="126">
        <v>196.2578871</v>
      </c>
      <c r="X49" s="126">
        <v>200.5935298</v>
      </c>
      <c r="Y49" s="126">
        <v>210.17785040000001</v>
      </c>
      <c r="Z49" s="126">
        <v>220.07049019999999</v>
      </c>
      <c r="AA49" s="126">
        <v>259.1637139</v>
      </c>
      <c r="AB49" s="126">
        <v>333.39956840000002</v>
      </c>
      <c r="AC49" s="126">
        <v>470.87337300000002</v>
      </c>
      <c r="AD49" s="126">
        <v>939.71200390000001</v>
      </c>
      <c r="AF49" s="112">
        <v>3.4</v>
      </c>
      <c r="AG49" s="112">
        <v>36.135994268648197</v>
      </c>
      <c r="AH49" s="112"/>
      <c r="AI49" s="114"/>
      <c r="AJ49" s="113">
        <v>3.4</v>
      </c>
      <c r="AK49" s="113">
        <v>87.866819298291105</v>
      </c>
      <c r="AL49" s="113"/>
      <c r="AN49" s="157">
        <v>3.4</v>
      </c>
      <c r="AO49" s="157">
        <v>4197.6443609999997</v>
      </c>
      <c r="AP49" s="157">
        <v>4709.197306</v>
      </c>
      <c r="AQ49" s="157">
        <v>5406.7695039999999</v>
      </c>
      <c r="AR49" s="157">
        <v>6965.455825</v>
      </c>
      <c r="AS49" s="157">
        <v>10068.41023</v>
      </c>
      <c r="AT49" s="157">
        <v>13898.69557</v>
      </c>
      <c r="AV49" s="66">
        <v>3.4</v>
      </c>
      <c r="AW49" s="66">
        <v>1874.7289436584699</v>
      </c>
      <c r="AX49" s="66">
        <v>2253.7431709574398</v>
      </c>
      <c r="AY49" s="66">
        <v>2837.3785761846898</v>
      </c>
      <c r="AZ49" s="66">
        <v>3917.0653218441298</v>
      </c>
      <c r="BA49" s="66">
        <v>6965.7738335234799</v>
      </c>
      <c r="BB49" s="66">
        <v>10303.192724725401</v>
      </c>
    </row>
    <row r="50" spans="1:54" ht="15" x14ac:dyDescent="0.25">
      <c r="A50" s="127">
        <v>3.5</v>
      </c>
      <c r="B50" s="127">
        <v>74.859891167610201</v>
      </c>
      <c r="C50" s="127">
        <v>74.859891167610201</v>
      </c>
      <c r="D50" s="127">
        <v>79.718663641458704</v>
      </c>
      <c r="E50" s="127">
        <v>85.901563487951194</v>
      </c>
      <c r="F50" s="127">
        <v>105.193052695483</v>
      </c>
      <c r="G50" s="127">
        <v>139.103257835287</v>
      </c>
      <c r="H50" s="127">
        <v>215.17209639214599</v>
      </c>
      <c r="I50" s="127">
        <v>429.337662881928</v>
      </c>
      <c r="K50" s="66">
        <v>3.5</v>
      </c>
      <c r="L50" s="66">
        <v>105.209390139199</v>
      </c>
      <c r="M50" s="66">
        <v>110.164410379458</v>
      </c>
      <c r="N50" s="66">
        <v>113.106322812518</v>
      </c>
      <c r="O50" s="66">
        <v>121.144092612958</v>
      </c>
      <c r="P50" s="66">
        <v>145.51870205092601</v>
      </c>
      <c r="Q50" s="66">
        <v>187.67733546797999</v>
      </c>
      <c r="R50" s="66">
        <v>277.49355448692103</v>
      </c>
      <c r="S50" s="66">
        <v>553.62973984851499</v>
      </c>
      <c r="T50" s="66">
        <v>579.26498072287404</v>
      </c>
      <c r="V50" s="126">
        <v>3.5</v>
      </c>
      <c r="W50" s="126">
        <v>191.92224429999999</v>
      </c>
      <c r="X50" s="126">
        <v>200.5935298</v>
      </c>
      <c r="Y50" s="126">
        <v>205.84982049999999</v>
      </c>
      <c r="Z50" s="126">
        <v>220.07049019999999</v>
      </c>
      <c r="AA50" s="126">
        <v>259.1637139</v>
      </c>
      <c r="AB50" s="126">
        <v>326.06763210000003</v>
      </c>
      <c r="AC50" s="126">
        <v>470.87337300000002</v>
      </c>
      <c r="AD50" s="126">
        <v>917.9608905</v>
      </c>
      <c r="AF50" s="112">
        <v>3.5</v>
      </c>
      <c r="AG50" s="112">
        <v>35.313438615568899</v>
      </c>
      <c r="AH50" s="112"/>
      <c r="AI50" s="114"/>
      <c r="AJ50" s="113">
        <v>3.5</v>
      </c>
      <c r="AK50" s="113">
        <v>87.866819298291105</v>
      </c>
      <c r="AL50" s="113"/>
      <c r="AN50" s="157">
        <v>3.5</v>
      </c>
      <c r="AO50" s="157">
        <v>4101.5344139999997</v>
      </c>
      <c r="AP50" s="157">
        <v>4709.197306</v>
      </c>
      <c r="AQ50" s="157">
        <v>5406.7695039999999</v>
      </c>
      <c r="AR50" s="157">
        <v>6965.455825</v>
      </c>
      <c r="AS50" s="157">
        <v>10068.41023</v>
      </c>
      <c r="AT50" s="157">
        <v>13898.69557</v>
      </c>
      <c r="AV50" s="66">
        <v>3.5</v>
      </c>
      <c r="AW50" s="66">
        <v>1832.09953159008</v>
      </c>
      <c r="AX50" s="66">
        <v>2202.5878764753702</v>
      </c>
      <c r="AY50" s="66">
        <v>2773.04691797239</v>
      </c>
      <c r="AZ50" s="66">
        <v>3917.0653218441298</v>
      </c>
      <c r="BA50" s="66">
        <v>6965.7738335234799</v>
      </c>
      <c r="BB50" s="66">
        <v>10303.192724725401</v>
      </c>
    </row>
    <row r="51" spans="1:54" ht="15" x14ac:dyDescent="0.25">
      <c r="A51" s="127">
        <v>3.6</v>
      </c>
      <c r="B51" s="127">
        <v>73.001758577512902</v>
      </c>
      <c r="C51" s="127">
        <v>74.859891167610201</v>
      </c>
      <c r="D51" s="127">
        <v>79.718663641458704</v>
      </c>
      <c r="E51" s="127">
        <v>85.901563487951194</v>
      </c>
      <c r="F51" s="127">
        <v>105.193052695483</v>
      </c>
      <c r="G51" s="127">
        <v>139.103257835287</v>
      </c>
      <c r="H51" s="127">
        <v>210.589636238118</v>
      </c>
      <c r="I51" s="127">
        <v>429.337662881928</v>
      </c>
      <c r="K51" s="66">
        <v>3.6</v>
      </c>
      <c r="L51" s="66">
        <v>105.209390139199</v>
      </c>
      <c r="M51" s="66">
        <v>107.68690025932899</v>
      </c>
      <c r="N51" s="66">
        <v>113.106322812518</v>
      </c>
      <c r="O51" s="66">
        <v>121.144092612958</v>
      </c>
      <c r="P51" s="66">
        <v>145.51870205092601</v>
      </c>
      <c r="Q51" s="66">
        <v>187.67733546797999</v>
      </c>
      <c r="R51" s="66">
        <v>277.49355448692103</v>
      </c>
      <c r="S51" s="66">
        <v>553.62973984851499</v>
      </c>
      <c r="T51" s="66">
        <v>566.05894754517396</v>
      </c>
      <c r="V51" s="126">
        <v>3.6</v>
      </c>
      <c r="W51" s="126">
        <v>191.92224429999999</v>
      </c>
      <c r="X51" s="126">
        <v>196.2578871</v>
      </c>
      <c r="Y51" s="126">
        <v>200.9035006</v>
      </c>
      <c r="Z51" s="126">
        <v>215.1241703</v>
      </c>
      <c r="AA51" s="126">
        <v>252.74826970000001</v>
      </c>
      <c r="AB51" s="126">
        <v>326.06763210000003</v>
      </c>
      <c r="AC51" s="126">
        <v>470.87337300000002</v>
      </c>
      <c r="AD51" s="126">
        <v>917.9608905</v>
      </c>
      <c r="AF51" s="112">
        <v>3.6</v>
      </c>
      <c r="AG51" s="112">
        <v>35.313438615568899</v>
      </c>
      <c r="AH51" s="112"/>
      <c r="AI51" s="114"/>
      <c r="AJ51" s="113">
        <v>3.6</v>
      </c>
      <c r="AK51" s="113">
        <v>85.389309178161398</v>
      </c>
      <c r="AL51" s="113"/>
      <c r="AN51" s="157">
        <v>3.6</v>
      </c>
      <c r="AO51" s="157">
        <v>4008.5247880000002</v>
      </c>
      <c r="AP51" s="157">
        <v>4602.2362359999997</v>
      </c>
      <c r="AQ51" s="157">
        <v>5284.3068290000001</v>
      </c>
      <c r="AR51" s="157">
        <v>6807.3394600000001</v>
      </c>
      <c r="AS51" s="157">
        <v>10068.41023</v>
      </c>
      <c r="AT51" s="157">
        <v>13898.69557</v>
      </c>
      <c r="AV51" s="66">
        <v>3.6</v>
      </c>
      <c r="AW51" s="66">
        <v>1832.09953159008</v>
      </c>
      <c r="AX51" s="66">
        <v>2202.5878764753702</v>
      </c>
      <c r="AY51" s="66">
        <v>2773.04691797239</v>
      </c>
      <c r="AZ51" s="66">
        <v>3827.9310966102198</v>
      </c>
      <c r="BA51" s="66">
        <v>6965.7738335234799</v>
      </c>
      <c r="BB51" s="66">
        <v>10303.192724725401</v>
      </c>
    </row>
    <row r="52" spans="1:54" ht="15" x14ac:dyDescent="0.25">
      <c r="A52" s="127">
        <v>3.7</v>
      </c>
      <c r="B52" s="127">
        <v>73.001758577512902</v>
      </c>
      <c r="C52" s="127">
        <v>74.859891167610201</v>
      </c>
      <c r="D52" s="127">
        <v>77.863793687510906</v>
      </c>
      <c r="E52" s="127">
        <v>85.901563487951194</v>
      </c>
      <c r="F52" s="127">
        <v>105.193052695483</v>
      </c>
      <c r="G52" s="127">
        <v>139.103257835287</v>
      </c>
      <c r="H52" s="127">
        <v>210.589636238118</v>
      </c>
      <c r="I52" s="127">
        <v>429.337662881928</v>
      </c>
      <c r="K52" s="66">
        <v>3.7</v>
      </c>
      <c r="L52" s="66">
        <v>105.209390139199</v>
      </c>
      <c r="M52" s="66">
        <v>107.68690025932899</v>
      </c>
      <c r="N52" s="66">
        <v>110.63316287392099</v>
      </c>
      <c r="O52" s="66">
        <v>121.144092612958</v>
      </c>
      <c r="P52" s="66">
        <v>145.51870205092601</v>
      </c>
      <c r="Q52" s="66">
        <v>187.67733546797999</v>
      </c>
      <c r="R52" s="66">
        <v>277.49355448692103</v>
      </c>
      <c r="S52" s="66">
        <v>553.62973984851499</v>
      </c>
      <c r="T52" s="66">
        <v>566.05894754517396</v>
      </c>
      <c r="V52" s="126">
        <v>3.7</v>
      </c>
      <c r="W52" s="126">
        <v>187.58660159999999</v>
      </c>
      <c r="X52" s="126">
        <v>191.92224429999999</v>
      </c>
      <c r="Y52" s="126">
        <v>200.9035006</v>
      </c>
      <c r="Z52" s="126">
        <v>215.1241703</v>
      </c>
      <c r="AA52" s="126">
        <v>252.74826970000001</v>
      </c>
      <c r="AB52" s="126">
        <v>318.7356959</v>
      </c>
      <c r="AC52" s="126">
        <v>459.87546859999998</v>
      </c>
      <c r="AD52" s="126">
        <v>896.9866025</v>
      </c>
      <c r="AF52" s="112">
        <v>3.7</v>
      </c>
      <c r="AG52" s="112">
        <v>35.313438615568899</v>
      </c>
      <c r="AH52" s="112"/>
      <c r="AI52" s="114"/>
      <c r="AJ52" s="113">
        <v>3.7</v>
      </c>
      <c r="AK52" s="113">
        <v>85.389309178161398</v>
      </c>
      <c r="AL52" s="113"/>
      <c r="AN52" s="157">
        <v>3.7</v>
      </c>
      <c r="AO52" s="157">
        <v>3917.0653219999999</v>
      </c>
      <c r="AP52" s="157">
        <v>4497.6004059999996</v>
      </c>
      <c r="AQ52" s="157">
        <v>5164.1693949999999</v>
      </c>
      <c r="AR52" s="157">
        <v>6807.3394600000001</v>
      </c>
      <c r="AS52" s="157">
        <v>10068.41023</v>
      </c>
      <c r="AT52" s="157">
        <v>13898.69557</v>
      </c>
      <c r="AV52" s="66">
        <v>3.7</v>
      </c>
      <c r="AW52" s="66">
        <v>1790.2451997411099</v>
      </c>
      <c r="AX52" s="66">
        <v>2152.9827424321502</v>
      </c>
      <c r="AY52" s="66">
        <v>2773.04691797239</v>
      </c>
      <c r="AZ52" s="66">
        <v>3827.9310966102198</v>
      </c>
      <c r="BA52" s="66">
        <v>6807.0886333180897</v>
      </c>
      <c r="BB52" s="66">
        <v>10303.192724725401</v>
      </c>
    </row>
    <row r="53" spans="1:54" ht="15" x14ac:dyDescent="0.25">
      <c r="A53" s="127">
        <v>3.8</v>
      </c>
      <c r="B53" s="127">
        <v>73.001758577512902</v>
      </c>
      <c r="C53" s="127">
        <v>74.859891167610201</v>
      </c>
      <c r="D53" s="127">
        <v>77.863793687510906</v>
      </c>
      <c r="E53" s="127">
        <v>85.901563487951194</v>
      </c>
      <c r="F53" s="127">
        <v>105.193052695483</v>
      </c>
      <c r="G53" s="127">
        <v>139.103257835287</v>
      </c>
      <c r="H53" s="127">
        <v>210.589636238118</v>
      </c>
      <c r="I53" s="127">
        <v>429.337662881928</v>
      </c>
      <c r="K53" s="66">
        <v>3.8</v>
      </c>
      <c r="L53" s="66">
        <v>102.731880019069</v>
      </c>
      <c r="M53" s="66">
        <v>107.68690025932899</v>
      </c>
      <c r="N53" s="66">
        <v>110.63316287392099</v>
      </c>
      <c r="O53" s="66">
        <v>118.052642689712</v>
      </c>
      <c r="P53" s="66">
        <v>141.85273392770401</v>
      </c>
      <c r="Q53" s="66">
        <v>183.094875313952</v>
      </c>
      <c r="R53" s="66">
        <v>277.49355448692103</v>
      </c>
      <c r="S53" s="66">
        <v>540.42370667081502</v>
      </c>
      <c r="T53" s="66">
        <v>566.05894754517396</v>
      </c>
      <c r="V53" s="126">
        <v>3.8</v>
      </c>
      <c r="W53" s="126">
        <v>183.2509589</v>
      </c>
      <c r="X53" s="126">
        <v>191.92224429999999</v>
      </c>
      <c r="Y53" s="126">
        <v>196.57547070000001</v>
      </c>
      <c r="Z53" s="126">
        <v>210.17785040000001</v>
      </c>
      <c r="AA53" s="126">
        <v>252.74826970000001</v>
      </c>
      <c r="AB53" s="126">
        <v>318.7356959</v>
      </c>
      <c r="AC53" s="126">
        <v>459.87546859999998</v>
      </c>
      <c r="AD53" s="126">
        <v>876.78913999999997</v>
      </c>
      <c r="AF53" s="112">
        <v>3.8</v>
      </c>
      <c r="AG53" s="112">
        <v>35.313438615568899</v>
      </c>
      <c r="AH53" s="112"/>
      <c r="AI53" s="114"/>
      <c r="AJ53" s="113">
        <v>3.8</v>
      </c>
      <c r="AK53" s="113">
        <v>85.389309178161398</v>
      </c>
      <c r="AL53" s="113"/>
      <c r="AN53" s="157">
        <v>3.8</v>
      </c>
      <c r="AO53" s="157">
        <v>3827.9310970000001</v>
      </c>
      <c r="AP53" s="157">
        <v>4395.2898169999999</v>
      </c>
      <c r="AQ53" s="157">
        <v>5164.1693949999999</v>
      </c>
      <c r="AR53" s="157">
        <v>6652.3234160000002</v>
      </c>
      <c r="AS53" s="157">
        <v>10068.41023</v>
      </c>
      <c r="AT53" s="157">
        <v>13898.69557</v>
      </c>
      <c r="AV53" s="66">
        <v>3.8</v>
      </c>
      <c r="AW53" s="66">
        <v>1790.2451997411099</v>
      </c>
      <c r="AX53" s="66">
        <v>2152.9827424321502</v>
      </c>
      <c r="AY53" s="66">
        <v>2710.2654201989399</v>
      </c>
      <c r="AZ53" s="66">
        <v>3827.9310966102198</v>
      </c>
      <c r="BA53" s="66">
        <v>6807.0886333180897</v>
      </c>
      <c r="BB53" s="66">
        <v>10068.688801545</v>
      </c>
    </row>
    <row r="54" spans="1:54" ht="15" x14ac:dyDescent="0.25">
      <c r="A54" s="127">
        <v>3.9</v>
      </c>
      <c r="B54" s="127">
        <v>73.001758577512902</v>
      </c>
      <c r="C54" s="127">
        <v>74.859891167610201</v>
      </c>
      <c r="D54" s="127">
        <v>77.863793687510906</v>
      </c>
      <c r="E54" s="127">
        <v>85.901563487951194</v>
      </c>
      <c r="F54" s="127">
        <v>105.193052695483</v>
      </c>
      <c r="G54" s="127">
        <v>139.103257835287</v>
      </c>
      <c r="H54" s="127">
        <v>210.589636238118</v>
      </c>
      <c r="I54" s="127">
        <v>429.337662881928</v>
      </c>
      <c r="K54" s="66">
        <v>3.9</v>
      </c>
      <c r="L54" s="66">
        <v>102.731880019069</v>
      </c>
      <c r="M54" s="66">
        <v>105.209390139199</v>
      </c>
      <c r="N54" s="66">
        <v>110.63316287392099</v>
      </c>
      <c r="O54" s="66">
        <v>118.052642689712</v>
      </c>
      <c r="P54" s="66">
        <v>141.85273392770401</v>
      </c>
      <c r="Q54" s="66">
        <v>183.094875313952</v>
      </c>
      <c r="R54" s="66">
        <v>271.07811027128201</v>
      </c>
      <c r="S54" s="66">
        <v>540.42370667081502</v>
      </c>
      <c r="T54" s="66">
        <v>566.05894754517396</v>
      </c>
      <c r="V54" s="126">
        <v>3.9</v>
      </c>
      <c r="W54" s="126">
        <v>183.2509589</v>
      </c>
      <c r="X54" s="126">
        <v>187.58660159999999</v>
      </c>
      <c r="Y54" s="126">
        <v>196.57547070000001</v>
      </c>
      <c r="Z54" s="126">
        <v>205.84982049999999</v>
      </c>
      <c r="AA54" s="126">
        <v>247.24931749999999</v>
      </c>
      <c r="AB54" s="126">
        <v>318.7356959</v>
      </c>
      <c r="AC54" s="126">
        <v>449.79405630000002</v>
      </c>
      <c r="AD54" s="126">
        <v>876.78913999999997</v>
      </c>
      <c r="AF54" s="112">
        <v>3.9</v>
      </c>
      <c r="AG54" s="112">
        <v>35.313438615568899</v>
      </c>
      <c r="AH54" s="112"/>
      <c r="AI54" s="114"/>
      <c r="AJ54" s="113">
        <v>3.9</v>
      </c>
      <c r="AK54" s="113">
        <v>85.389309178161398</v>
      </c>
      <c r="AL54" s="113"/>
      <c r="AN54" s="157">
        <v>3.9</v>
      </c>
      <c r="AO54" s="157">
        <v>3741.122112</v>
      </c>
      <c r="AP54" s="157">
        <v>4395.2898169999999</v>
      </c>
      <c r="AQ54" s="157">
        <v>5046.3572020000001</v>
      </c>
      <c r="AR54" s="157">
        <v>6652.3234160000002</v>
      </c>
      <c r="AS54" s="157">
        <v>9839.6309560000009</v>
      </c>
      <c r="AT54" s="157">
        <v>13582.216060000001</v>
      </c>
      <c r="AV54" s="66">
        <v>3.9</v>
      </c>
      <c r="AW54" s="66">
        <v>1790.2451997411099</v>
      </c>
      <c r="AX54" s="66">
        <v>2152.9827424321502</v>
      </c>
      <c r="AY54" s="66">
        <v>2710.2654201989399</v>
      </c>
      <c r="AZ54" s="66">
        <v>3741.1221120345899</v>
      </c>
      <c r="BA54" s="66">
        <v>6807.0886333180897</v>
      </c>
      <c r="BB54" s="66">
        <v>10068.688801545</v>
      </c>
    </row>
    <row r="55" spans="1:54" ht="15" x14ac:dyDescent="0.25">
      <c r="A55" s="127">
        <v>4</v>
      </c>
      <c r="B55" s="127">
        <v>73.001758577512902</v>
      </c>
      <c r="C55" s="127">
        <v>74.859891167610201</v>
      </c>
      <c r="D55" s="127">
        <v>77.863793687510906</v>
      </c>
      <c r="E55" s="127">
        <v>85.901563487951194</v>
      </c>
      <c r="F55" s="127">
        <v>103.360068633872</v>
      </c>
      <c r="G55" s="127">
        <v>139.103257835287</v>
      </c>
      <c r="H55" s="127">
        <v>210.589636238118</v>
      </c>
      <c r="I55" s="127">
        <v>429.337662881928</v>
      </c>
      <c r="K55" s="66">
        <v>4</v>
      </c>
      <c r="L55" s="66">
        <v>102.731880019069</v>
      </c>
      <c r="M55" s="66">
        <v>105.209390139199</v>
      </c>
      <c r="N55" s="66">
        <v>110.63316287392099</v>
      </c>
      <c r="O55" s="66">
        <v>118.052642689712</v>
      </c>
      <c r="P55" s="66">
        <v>141.85273392770401</v>
      </c>
      <c r="Q55" s="66">
        <v>183.094875313952</v>
      </c>
      <c r="R55" s="66">
        <v>271.07811027128201</v>
      </c>
      <c r="S55" s="66">
        <v>540.42370667081502</v>
      </c>
      <c r="T55" s="66">
        <v>553.62973984851499</v>
      </c>
      <c r="V55" s="126">
        <v>4</v>
      </c>
      <c r="W55" s="126">
        <v>178.91531620000001</v>
      </c>
      <c r="X55" s="126">
        <v>187.58660159999999</v>
      </c>
      <c r="Y55" s="126">
        <v>191.62915090000001</v>
      </c>
      <c r="Z55" s="126">
        <v>205.84982049999999</v>
      </c>
      <c r="AA55" s="126">
        <v>247.24931749999999</v>
      </c>
      <c r="AB55" s="126">
        <v>311.4037596</v>
      </c>
      <c r="AC55" s="126">
        <v>449.79405630000002</v>
      </c>
      <c r="AD55" s="126">
        <v>856.59167749999995</v>
      </c>
      <c r="AF55" s="112">
        <v>4</v>
      </c>
      <c r="AG55" s="112">
        <v>34.509606615072101</v>
      </c>
      <c r="AH55" s="112"/>
      <c r="AI55" s="114"/>
      <c r="AJ55" s="113">
        <v>4</v>
      </c>
      <c r="AK55" s="113">
        <v>85.389309178161398</v>
      </c>
      <c r="AL55" s="113"/>
      <c r="AN55" s="157">
        <v>4</v>
      </c>
      <c r="AO55" s="157">
        <v>3741.122112</v>
      </c>
      <c r="AP55" s="157">
        <v>4295.3044689999997</v>
      </c>
      <c r="AQ55" s="157">
        <v>5046.3572020000001</v>
      </c>
      <c r="AR55" s="157">
        <v>6652.3234160000002</v>
      </c>
      <c r="AS55" s="157">
        <v>9839.6309560000009</v>
      </c>
      <c r="AT55" s="157">
        <v>13582.216060000001</v>
      </c>
      <c r="AV55" s="66">
        <v>4</v>
      </c>
      <c r="AW55" s="66">
        <v>1749.9410283310001</v>
      </c>
      <c r="AX55" s="66">
        <v>2152.9827424321502</v>
      </c>
      <c r="AY55" s="66">
        <v>2710.2654201989399</v>
      </c>
      <c r="AZ55" s="66">
        <v>3741.1221120345899</v>
      </c>
      <c r="BA55" s="66">
        <v>6807.0886333180897</v>
      </c>
      <c r="BB55" s="66">
        <v>10068.688801545</v>
      </c>
    </row>
    <row r="56" spans="1:54" ht="15" x14ac:dyDescent="0.25">
      <c r="A56" s="127">
        <v>4.0999999999999996</v>
      </c>
      <c r="B56" s="127">
        <v>71.143625987415604</v>
      </c>
      <c r="C56" s="127">
        <v>74.859891167610201</v>
      </c>
      <c r="D56" s="127">
        <v>77.863793687510906</v>
      </c>
      <c r="E56" s="127">
        <v>84.046693534003495</v>
      </c>
      <c r="F56" s="127">
        <v>103.360068633872</v>
      </c>
      <c r="G56" s="127">
        <v>135.437289712065</v>
      </c>
      <c r="H56" s="127">
        <v>210.589636238118</v>
      </c>
      <c r="I56" s="127">
        <v>420.01575710943399</v>
      </c>
      <c r="K56" s="66">
        <v>4.0999999999999996</v>
      </c>
      <c r="L56" s="66">
        <v>100.873747428972</v>
      </c>
      <c r="M56" s="66">
        <v>105.209390139199</v>
      </c>
      <c r="N56" s="66">
        <v>110.63316287392099</v>
      </c>
      <c r="O56" s="66">
        <v>118.052642689712</v>
      </c>
      <c r="P56" s="66">
        <v>139.103257835287</v>
      </c>
      <c r="Q56" s="66">
        <v>183.094875313952</v>
      </c>
      <c r="R56" s="66">
        <v>271.07811027128201</v>
      </c>
      <c r="S56" s="66">
        <v>540.42370667081502</v>
      </c>
      <c r="T56" s="66">
        <v>553.62973984851499</v>
      </c>
      <c r="V56" s="126">
        <v>4.0999999999999996</v>
      </c>
      <c r="W56" s="126">
        <v>178.91531620000001</v>
      </c>
      <c r="X56" s="126">
        <v>183.2509589</v>
      </c>
      <c r="Y56" s="126">
        <v>191.62915090000001</v>
      </c>
      <c r="Z56" s="126">
        <v>205.84982049999999</v>
      </c>
      <c r="AA56" s="126">
        <v>241.7503653</v>
      </c>
      <c r="AB56" s="126">
        <v>311.4037596</v>
      </c>
      <c r="AC56" s="126">
        <v>439.71264389999999</v>
      </c>
      <c r="AD56" s="126">
        <v>856.59167749999995</v>
      </c>
      <c r="AF56" s="112">
        <v>4.0999999999999996</v>
      </c>
      <c r="AG56" s="112">
        <v>34.509606615072101</v>
      </c>
      <c r="AH56" s="112"/>
      <c r="AI56" s="114"/>
      <c r="AJ56" s="113">
        <v>4.0999999999999996</v>
      </c>
      <c r="AK56" s="113">
        <v>85.389309178161398</v>
      </c>
      <c r="AL56" s="113"/>
      <c r="AN56" s="157">
        <v>4.0999999999999996</v>
      </c>
      <c r="AO56" s="157">
        <v>3655.863288</v>
      </c>
      <c r="AP56" s="157">
        <v>4295.3044689999997</v>
      </c>
      <c r="AQ56" s="157">
        <v>4931.6453289999999</v>
      </c>
      <c r="AR56" s="157">
        <v>6501.1827730000005</v>
      </c>
      <c r="AS56" s="157">
        <v>9839.6309560000009</v>
      </c>
      <c r="AT56" s="157">
        <v>13582.216060000001</v>
      </c>
      <c r="AV56" s="66">
        <v>4.0999999999999996</v>
      </c>
      <c r="AW56" s="66">
        <v>1749.9410283310001</v>
      </c>
      <c r="AX56" s="66">
        <v>2103.3776083889302</v>
      </c>
      <c r="AY56" s="66">
        <v>2648.2590026449202</v>
      </c>
      <c r="AZ56" s="66">
        <v>3741.1221120345899</v>
      </c>
      <c r="BA56" s="66">
        <v>6807.0886333180897</v>
      </c>
      <c r="BB56" s="66">
        <v>10068.688801545</v>
      </c>
    </row>
    <row r="57" spans="1:54" ht="15" x14ac:dyDescent="0.25">
      <c r="A57" s="127">
        <v>4.2</v>
      </c>
      <c r="B57" s="127">
        <v>71.143625987415604</v>
      </c>
      <c r="C57" s="127">
        <v>74.859891167610201</v>
      </c>
      <c r="D57" s="127">
        <v>76.627213718212403</v>
      </c>
      <c r="E57" s="127">
        <v>84.046693534003495</v>
      </c>
      <c r="F57" s="127">
        <v>103.360068633872</v>
      </c>
      <c r="G57" s="127">
        <v>135.437289712065</v>
      </c>
      <c r="H57" s="127">
        <v>206.00717608408999</v>
      </c>
      <c r="I57" s="127">
        <v>420.01575710943399</v>
      </c>
      <c r="K57" s="66">
        <v>4.2</v>
      </c>
      <c r="L57" s="66">
        <v>100.873747428972</v>
      </c>
      <c r="M57" s="66">
        <v>105.209390139199</v>
      </c>
      <c r="N57" s="66">
        <v>110.63316287392099</v>
      </c>
      <c r="O57" s="66">
        <v>115.57948275111499</v>
      </c>
      <c r="P57" s="66">
        <v>139.103257835287</v>
      </c>
      <c r="Q57" s="66">
        <v>183.094875313952</v>
      </c>
      <c r="R57" s="66">
        <v>271.07811027128201</v>
      </c>
      <c r="S57" s="66">
        <v>540.42370667081502</v>
      </c>
      <c r="T57" s="66">
        <v>553.62973984851499</v>
      </c>
      <c r="V57" s="126">
        <v>4.2</v>
      </c>
      <c r="W57" s="126">
        <v>175.199051</v>
      </c>
      <c r="X57" s="126">
        <v>183.2509589</v>
      </c>
      <c r="Y57" s="126">
        <v>187.30112099999999</v>
      </c>
      <c r="Z57" s="126">
        <v>200.9035006</v>
      </c>
      <c r="AA57" s="126">
        <v>241.7503653</v>
      </c>
      <c r="AB57" s="126">
        <v>304.07182340000003</v>
      </c>
      <c r="AC57" s="126">
        <v>439.71264389999999</v>
      </c>
      <c r="AD57" s="126">
        <v>837.17104040000004</v>
      </c>
      <c r="AF57" s="112">
        <v>4.2</v>
      </c>
      <c r="AG57" s="112">
        <v>34.509606615072101</v>
      </c>
      <c r="AH57" s="112"/>
      <c r="AI57" s="114"/>
      <c r="AJ57" s="113">
        <v>4.2</v>
      </c>
      <c r="AK57" s="113">
        <v>85.389309178161398</v>
      </c>
      <c r="AL57" s="113"/>
      <c r="AN57" s="157">
        <v>4.2</v>
      </c>
      <c r="AO57" s="157">
        <v>3572.1546239999998</v>
      </c>
      <c r="AP57" s="157">
        <v>4197.6443609999997</v>
      </c>
      <c r="AQ57" s="157">
        <v>4931.6453289999999</v>
      </c>
      <c r="AR57" s="157">
        <v>6501.1827730000005</v>
      </c>
      <c r="AS57" s="157">
        <v>9615.7193239999997</v>
      </c>
      <c r="AT57" s="157">
        <v>13273.1278</v>
      </c>
      <c r="AV57" s="66">
        <v>4.2</v>
      </c>
      <c r="AW57" s="66">
        <v>1709.6368569208801</v>
      </c>
      <c r="AX57" s="66">
        <v>2103.3776083889302</v>
      </c>
      <c r="AY57" s="66">
        <v>2648.2590026449202</v>
      </c>
      <c r="AZ57" s="66">
        <v>3741.1221120345899</v>
      </c>
      <c r="BA57" s="66">
        <v>6652.2975484551598</v>
      </c>
      <c r="BB57" s="66">
        <v>10068.688801545</v>
      </c>
    </row>
    <row r="58" spans="1:54" ht="15" x14ac:dyDescent="0.25">
      <c r="A58" s="127">
        <v>4.3</v>
      </c>
      <c r="B58" s="127">
        <v>71.143625987415604</v>
      </c>
      <c r="C58" s="127">
        <v>74.859891167610201</v>
      </c>
      <c r="D58" s="127">
        <v>76.627213718212403</v>
      </c>
      <c r="E58" s="127">
        <v>84.046693534003495</v>
      </c>
      <c r="F58" s="127">
        <v>103.360068633872</v>
      </c>
      <c r="G58" s="127">
        <v>135.437289712065</v>
      </c>
      <c r="H58" s="127">
        <v>206.00717608408999</v>
      </c>
      <c r="I58" s="127">
        <v>420.01575710943399</v>
      </c>
      <c r="K58" s="66">
        <v>4.3</v>
      </c>
      <c r="L58" s="66">
        <v>100.873747428972</v>
      </c>
      <c r="M58" s="66">
        <v>105.209390139199</v>
      </c>
      <c r="N58" s="66">
        <v>108.160002935324</v>
      </c>
      <c r="O58" s="66">
        <v>115.57948275111499</v>
      </c>
      <c r="P58" s="66">
        <v>139.103257835287</v>
      </c>
      <c r="Q58" s="66">
        <v>179.42890719073</v>
      </c>
      <c r="R58" s="66">
        <v>271.07811027128201</v>
      </c>
      <c r="S58" s="66">
        <v>528.77132445519806</v>
      </c>
      <c r="T58" s="66">
        <v>553.62973984851499</v>
      </c>
      <c r="V58" s="126">
        <v>4.3</v>
      </c>
      <c r="W58" s="126">
        <v>175.199051</v>
      </c>
      <c r="X58" s="126">
        <v>178.91531620000001</v>
      </c>
      <c r="Y58" s="126">
        <v>187.30112099999999</v>
      </c>
      <c r="Z58" s="126">
        <v>200.9035006</v>
      </c>
      <c r="AA58" s="126">
        <v>236.25141310000001</v>
      </c>
      <c r="AB58" s="126">
        <v>304.07182340000003</v>
      </c>
      <c r="AC58" s="126">
        <v>439.71264389999999</v>
      </c>
      <c r="AD58" s="126">
        <v>837.17104040000004</v>
      </c>
      <c r="AF58" s="112">
        <v>4.3</v>
      </c>
      <c r="AG58" s="112">
        <v>34.509606615072101</v>
      </c>
      <c r="AH58" s="112"/>
      <c r="AJ58" s="113">
        <v>4.3</v>
      </c>
      <c r="AK58" s="113">
        <v>85.389309178161398</v>
      </c>
      <c r="AN58" s="157">
        <v>4.3</v>
      </c>
      <c r="AO58" s="157">
        <v>3490.771201</v>
      </c>
      <c r="AP58" s="157">
        <v>4101.5344139999997</v>
      </c>
      <c r="AQ58" s="157">
        <v>4819.2586970000002</v>
      </c>
      <c r="AR58" s="157">
        <v>6353.1424509999997</v>
      </c>
      <c r="AS58" s="157">
        <v>9615.7193239999997</v>
      </c>
      <c r="AT58" s="157">
        <v>13273.1278</v>
      </c>
      <c r="AV58" s="66">
        <v>4.3</v>
      </c>
      <c r="AW58" s="66">
        <v>1709.6368569208801</v>
      </c>
      <c r="AX58" s="66">
        <v>2103.3776083889302</v>
      </c>
      <c r="AY58" s="66">
        <v>2648.2590026449202</v>
      </c>
      <c r="AZ58" s="66">
        <v>3655.8632878978001</v>
      </c>
      <c r="BA58" s="66">
        <v>6652.2975484551598</v>
      </c>
      <c r="BB58" s="66">
        <v>10068.688801545</v>
      </c>
    </row>
    <row r="59" spans="1:54" ht="15" x14ac:dyDescent="0.25">
      <c r="A59" s="127">
        <v>4.4000000000000004</v>
      </c>
      <c r="B59" s="127">
        <v>71.143625987415604</v>
      </c>
      <c r="C59" s="127">
        <v>74.859891167610201</v>
      </c>
      <c r="D59" s="127">
        <v>76.627213718212403</v>
      </c>
      <c r="E59" s="127">
        <v>84.046693534003495</v>
      </c>
      <c r="F59" s="127">
        <v>103.360068633872</v>
      </c>
      <c r="G59" s="127">
        <v>135.437289712065</v>
      </c>
      <c r="H59" s="127">
        <v>206.00717608408999</v>
      </c>
      <c r="I59" s="127">
        <v>420.01575710943399</v>
      </c>
      <c r="K59" s="66">
        <v>4.4000000000000004</v>
      </c>
      <c r="L59" s="66">
        <v>100.873747428972</v>
      </c>
      <c r="M59" s="66">
        <v>105.209390139199</v>
      </c>
      <c r="N59" s="66">
        <v>108.160002935324</v>
      </c>
      <c r="O59" s="66">
        <v>115.57948275111499</v>
      </c>
      <c r="P59" s="66">
        <v>139.103257835287</v>
      </c>
      <c r="Q59" s="66">
        <v>179.42890719073</v>
      </c>
      <c r="R59" s="66">
        <v>264.66266605564402</v>
      </c>
      <c r="S59" s="66">
        <v>528.77132445519806</v>
      </c>
      <c r="T59" s="66">
        <v>553.62973984851499</v>
      </c>
      <c r="V59" s="126">
        <v>4.4000000000000004</v>
      </c>
      <c r="W59" s="126">
        <v>170.8634083</v>
      </c>
      <c r="X59" s="126">
        <v>178.91531620000001</v>
      </c>
      <c r="Y59" s="126">
        <v>182.9730911</v>
      </c>
      <c r="Z59" s="126">
        <v>196.57547070000001</v>
      </c>
      <c r="AA59" s="126">
        <v>236.25141310000001</v>
      </c>
      <c r="AB59" s="126">
        <v>304.07182340000003</v>
      </c>
      <c r="AC59" s="126">
        <v>429.63123159999998</v>
      </c>
      <c r="AD59" s="126">
        <v>837.17104040000004</v>
      </c>
      <c r="AF59" s="112">
        <v>4.4000000000000004</v>
      </c>
      <c r="AG59" s="112">
        <v>34.509606615072101</v>
      </c>
      <c r="AH59" s="112"/>
      <c r="AJ59" s="113">
        <v>4.4000000000000004</v>
      </c>
      <c r="AK59" s="113">
        <v>83.531176588064099</v>
      </c>
      <c r="AN59" s="157">
        <v>4.4000000000000004</v>
      </c>
      <c r="AO59" s="157">
        <v>3490.771201</v>
      </c>
      <c r="AP59" s="157">
        <v>4101.5344139999997</v>
      </c>
      <c r="AQ59" s="157">
        <v>4819.2586970000002</v>
      </c>
      <c r="AR59" s="157">
        <v>6353.1424509999997</v>
      </c>
      <c r="AS59" s="157">
        <v>9396.6753360000002</v>
      </c>
      <c r="AT59" s="157">
        <v>13273.1278</v>
      </c>
      <c r="AV59" s="66">
        <v>4.4000000000000004</v>
      </c>
      <c r="AW59" s="66">
        <v>1709.6368569208801</v>
      </c>
      <c r="AX59" s="66">
        <v>2103.3776083889302</v>
      </c>
      <c r="AY59" s="66">
        <v>2587.8027455297402</v>
      </c>
      <c r="AZ59" s="66">
        <v>3655.8632878978001</v>
      </c>
      <c r="BA59" s="66">
        <v>6652.2975484551598</v>
      </c>
      <c r="BB59" s="66">
        <v>10068.688801545</v>
      </c>
    </row>
    <row r="60" spans="1:54" ht="15" x14ac:dyDescent="0.25">
      <c r="A60" s="127">
        <v>4.5</v>
      </c>
      <c r="B60" s="127">
        <v>71.143625987415604</v>
      </c>
      <c r="C60" s="127">
        <v>74.859891167610201</v>
      </c>
      <c r="D60" s="127">
        <v>76.627213718212403</v>
      </c>
      <c r="E60" s="127">
        <v>84.046693534003495</v>
      </c>
      <c r="F60" s="127">
        <v>103.360068633872</v>
      </c>
      <c r="G60" s="127">
        <v>135.437289712065</v>
      </c>
      <c r="H60" s="127">
        <v>206.00717608408999</v>
      </c>
      <c r="I60" s="127">
        <v>420.01575710943399</v>
      </c>
      <c r="K60" s="66">
        <v>4.5</v>
      </c>
      <c r="L60" s="66">
        <v>100.873747428972</v>
      </c>
      <c r="M60" s="66">
        <v>102.731880019069</v>
      </c>
      <c r="N60" s="66">
        <v>108.160002935324</v>
      </c>
      <c r="O60" s="66">
        <v>115.57948275111499</v>
      </c>
      <c r="P60" s="66">
        <v>139.103257835287</v>
      </c>
      <c r="Q60" s="66">
        <v>179.42890719073</v>
      </c>
      <c r="R60" s="66">
        <v>264.66266605564402</v>
      </c>
      <c r="S60" s="66">
        <v>528.77132445519806</v>
      </c>
      <c r="T60" s="66">
        <v>553.62973984851499</v>
      </c>
      <c r="V60" s="126">
        <v>4.5</v>
      </c>
      <c r="W60" s="126">
        <v>170.8634083</v>
      </c>
      <c r="X60" s="126">
        <v>175.199051</v>
      </c>
      <c r="Y60" s="126">
        <v>182.9730911</v>
      </c>
      <c r="Z60" s="126">
        <v>196.57547070000001</v>
      </c>
      <c r="AA60" s="126">
        <v>236.25141310000001</v>
      </c>
      <c r="AB60" s="126">
        <v>296.73988709999998</v>
      </c>
      <c r="AC60" s="126">
        <v>429.63123159999998</v>
      </c>
      <c r="AD60" s="126">
        <v>818.52722889999995</v>
      </c>
      <c r="AF60" s="112">
        <v>4.5</v>
      </c>
      <c r="AG60" s="112">
        <v>34.509606615072101</v>
      </c>
      <c r="AH60" s="112"/>
      <c r="AJ60" s="113">
        <v>4.5</v>
      </c>
      <c r="AK60" s="113">
        <v>83.531176588064099</v>
      </c>
      <c r="AN60" s="157">
        <v>4.5</v>
      </c>
      <c r="AO60" s="157">
        <v>3411.7130189999998</v>
      </c>
      <c r="AP60" s="157">
        <v>4008.5247880000002</v>
      </c>
      <c r="AQ60" s="157">
        <v>4819.2586970000002</v>
      </c>
      <c r="AR60" s="157">
        <v>6353.1424509999997</v>
      </c>
      <c r="AS60" s="157">
        <v>9396.6753360000002</v>
      </c>
      <c r="AT60" s="157">
        <v>13273.1278</v>
      </c>
      <c r="AV60" s="66">
        <v>4.5</v>
      </c>
      <c r="AW60" s="66">
        <v>1670.8828459496201</v>
      </c>
      <c r="AX60" s="66">
        <v>2103.3776083889302</v>
      </c>
      <c r="AY60" s="66">
        <v>2587.8027455297402</v>
      </c>
      <c r="AZ60" s="66">
        <v>3655.8632878978001</v>
      </c>
      <c r="BA60" s="66">
        <v>6652.2975484551598</v>
      </c>
      <c r="BB60" s="66">
        <v>10068.688801545</v>
      </c>
    </row>
    <row r="61" spans="1:54" ht="15" x14ac:dyDescent="0.25">
      <c r="A61" s="127">
        <v>4.5999999999999996</v>
      </c>
      <c r="B61" s="127">
        <v>71.143625987415604</v>
      </c>
      <c r="C61" s="127">
        <v>74.859891167610201</v>
      </c>
      <c r="D61" s="127">
        <v>76.627213718212403</v>
      </c>
      <c r="E61" s="127">
        <v>84.046693534003495</v>
      </c>
      <c r="F61" s="127">
        <v>103.360068633872</v>
      </c>
      <c r="G61" s="127">
        <v>135.437289712065</v>
      </c>
      <c r="H61" s="127">
        <v>206.00717608408999</v>
      </c>
      <c r="I61" s="127">
        <v>420.01575710943399</v>
      </c>
      <c r="K61" s="66">
        <v>4.5999999999999996</v>
      </c>
      <c r="L61" s="66">
        <v>100.873747428972</v>
      </c>
      <c r="M61" s="66">
        <v>102.731880019069</v>
      </c>
      <c r="N61" s="66">
        <v>108.160002935324</v>
      </c>
      <c r="O61" s="66">
        <v>115.57948275111499</v>
      </c>
      <c r="P61" s="66">
        <v>139.103257835287</v>
      </c>
      <c r="Q61" s="66">
        <v>179.42890719073</v>
      </c>
      <c r="R61" s="66">
        <v>264.66266605564402</v>
      </c>
      <c r="S61" s="66">
        <v>528.77132445519806</v>
      </c>
      <c r="T61" s="66">
        <v>553.62973984851499</v>
      </c>
      <c r="V61" s="126">
        <v>4.5999999999999996</v>
      </c>
      <c r="W61" s="126">
        <v>167.14714309999999</v>
      </c>
      <c r="X61" s="126">
        <v>175.199051</v>
      </c>
      <c r="Y61" s="126">
        <v>179.26335119999999</v>
      </c>
      <c r="Z61" s="126">
        <v>191.62915090000001</v>
      </c>
      <c r="AA61" s="126">
        <v>230.75246089999999</v>
      </c>
      <c r="AB61" s="126">
        <v>296.73988709999998</v>
      </c>
      <c r="AC61" s="126">
        <v>429.63123159999998</v>
      </c>
      <c r="AD61" s="126">
        <v>818.52722889999995</v>
      </c>
      <c r="AF61" s="112">
        <v>4.5999999999999996</v>
      </c>
      <c r="AG61" s="112">
        <v>34.509606615072101</v>
      </c>
      <c r="AH61" s="112"/>
      <c r="AJ61" s="113">
        <v>4.5999999999999996</v>
      </c>
      <c r="AK61" s="113">
        <v>83.531176588064099</v>
      </c>
      <c r="AN61" s="157">
        <v>4.5999999999999996</v>
      </c>
      <c r="AO61" s="157">
        <v>3334.2049969999998</v>
      </c>
      <c r="AP61" s="157">
        <v>4008.5247880000002</v>
      </c>
      <c r="AQ61" s="157">
        <v>4709.197306</v>
      </c>
      <c r="AR61" s="157">
        <v>6208.2024499999998</v>
      </c>
      <c r="AS61" s="157">
        <v>9396.6753360000002</v>
      </c>
      <c r="AT61" s="157">
        <v>13273.1278</v>
      </c>
      <c r="AV61" s="66">
        <v>4.5999999999999996</v>
      </c>
      <c r="AW61" s="66">
        <v>1670.8828459496201</v>
      </c>
      <c r="AX61" s="66">
        <v>2103.3776083889302</v>
      </c>
      <c r="AY61" s="66">
        <v>2587.8027455297402</v>
      </c>
      <c r="AZ61" s="66">
        <v>3655.8632878978001</v>
      </c>
      <c r="BA61" s="66">
        <v>6652.2975484551598</v>
      </c>
      <c r="BB61" s="66">
        <v>10068.688801545</v>
      </c>
    </row>
    <row r="62" spans="1:54" ht="15" x14ac:dyDescent="0.25">
      <c r="A62" s="127">
        <v>4.7</v>
      </c>
      <c r="B62" s="127">
        <v>69.9048709273508</v>
      </c>
      <c r="C62" s="127">
        <v>74.859891167610201</v>
      </c>
      <c r="D62" s="127">
        <v>76.627213718212403</v>
      </c>
      <c r="E62" s="127">
        <v>84.046693534003495</v>
      </c>
      <c r="F62" s="127">
        <v>103.360068633872</v>
      </c>
      <c r="G62" s="127">
        <v>135.437289712065</v>
      </c>
      <c r="H62" s="127">
        <v>206.00717608408999</v>
      </c>
      <c r="I62" s="127">
        <v>420.01575710943399</v>
      </c>
      <c r="K62" s="66">
        <v>4.7</v>
      </c>
      <c r="L62" s="66">
        <v>100.873747428972</v>
      </c>
      <c r="M62" s="66">
        <v>102.731880019069</v>
      </c>
      <c r="N62" s="66">
        <v>105.68684299672699</v>
      </c>
      <c r="O62" s="66">
        <v>115.57948275111499</v>
      </c>
      <c r="P62" s="66">
        <v>139.103257835287</v>
      </c>
      <c r="Q62" s="66">
        <v>179.42890719073</v>
      </c>
      <c r="R62" s="66">
        <v>264.66266605564402</v>
      </c>
      <c r="S62" s="66">
        <v>528.77132445519806</v>
      </c>
      <c r="T62" s="66">
        <v>540.42370667081502</v>
      </c>
      <c r="V62" s="126">
        <v>4.7</v>
      </c>
      <c r="W62" s="126">
        <v>167.14714309999999</v>
      </c>
      <c r="X62" s="126">
        <v>170.8634083</v>
      </c>
      <c r="Y62" s="126">
        <v>179.26335119999999</v>
      </c>
      <c r="Z62" s="126">
        <v>191.62915090000001</v>
      </c>
      <c r="AA62" s="126">
        <v>230.75246089999999</v>
      </c>
      <c r="AB62" s="126">
        <v>296.73988709999998</v>
      </c>
      <c r="AC62" s="126">
        <v>419.54981930000002</v>
      </c>
      <c r="AD62" s="126">
        <v>818.52722889999995</v>
      </c>
      <c r="AF62" s="112">
        <v>4.7</v>
      </c>
      <c r="AG62" s="112">
        <v>34.509606615072101</v>
      </c>
      <c r="AH62" s="112"/>
      <c r="AJ62" s="113">
        <v>4.7</v>
      </c>
      <c r="AK62" s="113">
        <v>83.531176588064099</v>
      </c>
      <c r="AN62" s="157">
        <v>4.7</v>
      </c>
      <c r="AO62" s="157">
        <v>3334.2049969999998</v>
      </c>
      <c r="AP62" s="157">
        <v>4008.5247880000002</v>
      </c>
      <c r="AQ62" s="157">
        <v>4709.197306</v>
      </c>
      <c r="AR62" s="157">
        <v>6208.2024499999998</v>
      </c>
      <c r="AS62" s="157">
        <v>9182.4989920000007</v>
      </c>
      <c r="AT62" s="157">
        <v>12970.75884</v>
      </c>
      <c r="AV62" s="66">
        <v>4.7</v>
      </c>
      <c r="AW62" s="66">
        <v>1670.8828459496201</v>
      </c>
      <c r="AX62" s="66">
        <v>2103.3776083889302</v>
      </c>
      <c r="AY62" s="66">
        <v>2587.8027455297402</v>
      </c>
      <c r="AZ62" s="66">
        <v>3655.8632878978001</v>
      </c>
      <c r="BA62" s="66">
        <v>6652.2975484551598</v>
      </c>
      <c r="BB62" s="66">
        <v>10068.688801545</v>
      </c>
    </row>
    <row r="63" spans="1:54" ht="15" x14ac:dyDescent="0.25">
      <c r="A63" s="127">
        <v>4.8</v>
      </c>
      <c r="B63" s="127">
        <v>69.9048709273508</v>
      </c>
      <c r="C63" s="127">
        <v>74.859891167610201</v>
      </c>
      <c r="D63" s="127">
        <v>76.627213718212403</v>
      </c>
      <c r="E63" s="127">
        <v>84.046693534003495</v>
      </c>
      <c r="F63" s="127">
        <v>100.61059254145501</v>
      </c>
      <c r="G63" s="127">
        <v>135.437289712065</v>
      </c>
      <c r="H63" s="127">
        <v>206.00717608408999</v>
      </c>
      <c r="I63" s="127">
        <v>420.01575710943399</v>
      </c>
      <c r="K63" s="66">
        <v>4.8</v>
      </c>
      <c r="L63" s="66">
        <v>100.873747428972</v>
      </c>
      <c r="M63" s="66">
        <v>102.731880019069</v>
      </c>
      <c r="N63" s="66">
        <v>105.68684299672699</v>
      </c>
      <c r="O63" s="66">
        <v>115.57948275111499</v>
      </c>
      <c r="P63" s="66">
        <v>135.437289712065</v>
      </c>
      <c r="Q63" s="66">
        <v>179.42890719073</v>
      </c>
      <c r="R63" s="66">
        <v>264.66266605564402</v>
      </c>
      <c r="S63" s="66">
        <v>528.77132445519806</v>
      </c>
      <c r="T63" s="66">
        <v>540.42370667081502</v>
      </c>
      <c r="V63" s="126">
        <v>4.8</v>
      </c>
      <c r="W63" s="126">
        <v>163.43087800000001</v>
      </c>
      <c r="X63" s="126">
        <v>170.8634083</v>
      </c>
      <c r="Y63" s="126">
        <v>174.9353213</v>
      </c>
      <c r="Z63" s="126">
        <v>191.62915090000001</v>
      </c>
      <c r="AA63" s="126">
        <v>225.2535087</v>
      </c>
      <c r="AB63" s="126">
        <v>290.32444290000001</v>
      </c>
      <c r="AC63" s="126">
        <v>419.54981930000002</v>
      </c>
      <c r="AD63" s="126">
        <v>799.88341730000002</v>
      </c>
      <c r="AF63" s="112">
        <v>4.8</v>
      </c>
      <c r="AG63" s="112">
        <v>34.509606615072101</v>
      </c>
      <c r="AH63" s="112"/>
      <c r="AJ63" s="113">
        <v>4.8</v>
      </c>
      <c r="AK63" s="113">
        <v>83.531176588064099</v>
      </c>
      <c r="AN63" s="157">
        <v>4.8</v>
      </c>
      <c r="AO63" s="157">
        <v>3258.2471350000001</v>
      </c>
      <c r="AP63" s="157">
        <v>3917.0653219999999</v>
      </c>
      <c r="AQ63" s="157">
        <v>4709.197306</v>
      </c>
      <c r="AR63" s="157">
        <v>6208.2024499999998</v>
      </c>
      <c r="AS63" s="157">
        <v>9182.4989920000007</v>
      </c>
      <c r="AT63" s="157">
        <v>12970.75884</v>
      </c>
      <c r="AV63" s="66">
        <v>4.8</v>
      </c>
      <c r="AW63" s="66">
        <v>1632.90391519778</v>
      </c>
      <c r="AX63" s="66">
        <v>2103.3776083889302</v>
      </c>
      <c r="AY63" s="66">
        <v>2587.8027455297402</v>
      </c>
      <c r="AZ63" s="66">
        <v>3572.1546241998699</v>
      </c>
      <c r="BA63" s="66">
        <v>6500.4270500990797</v>
      </c>
      <c r="BB63" s="66">
        <v>10068.688801545</v>
      </c>
    </row>
    <row r="64" spans="1:54" ht="15" x14ac:dyDescent="0.25">
      <c r="A64" s="127">
        <v>4.9000000000000004</v>
      </c>
      <c r="B64" s="127">
        <v>69.9048709273508</v>
      </c>
      <c r="C64" s="127">
        <v>74.859891167610201</v>
      </c>
      <c r="D64" s="127">
        <v>76.627213718212403</v>
      </c>
      <c r="E64" s="127">
        <v>81.573533595406403</v>
      </c>
      <c r="F64" s="127">
        <v>100.61059254145501</v>
      </c>
      <c r="G64" s="127">
        <v>135.437289712065</v>
      </c>
      <c r="H64" s="127">
        <v>206.00717608408999</v>
      </c>
      <c r="I64" s="127">
        <v>420.01575710943399</v>
      </c>
      <c r="K64" s="66">
        <v>4.9000000000000004</v>
      </c>
      <c r="L64" s="66">
        <v>100.873747428972</v>
      </c>
      <c r="M64" s="66">
        <v>102.731880019069</v>
      </c>
      <c r="N64" s="66">
        <v>105.68684299672699</v>
      </c>
      <c r="O64" s="66">
        <v>115.57948275111499</v>
      </c>
      <c r="P64" s="66">
        <v>135.437289712065</v>
      </c>
      <c r="Q64" s="66">
        <v>179.42890719073</v>
      </c>
      <c r="R64" s="66">
        <v>264.66266605564402</v>
      </c>
      <c r="S64" s="66">
        <v>528.77132445519806</v>
      </c>
      <c r="T64" s="66">
        <v>540.42370667081502</v>
      </c>
      <c r="V64" s="126">
        <v>4.9000000000000004</v>
      </c>
      <c r="W64" s="126">
        <v>163.43087800000001</v>
      </c>
      <c r="X64" s="126">
        <v>170.8634083</v>
      </c>
      <c r="Y64" s="126">
        <v>174.9353213</v>
      </c>
      <c r="Z64" s="126">
        <v>187.30112099999999</v>
      </c>
      <c r="AA64" s="126">
        <v>225.2535087</v>
      </c>
      <c r="AB64" s="126">
        <v>290.32444290000001</v>
      </c>
      <c r="AC64" s="126">
        <v>419.54981930000002</v>
      </c>
      <c r="AD64" s="126">
        <v>799.88341730000002</v>
      </c>
      <c r="AF64" s="112">
        <v>4.9000000000000004</v>
      </c>
      <c r="AG64" s="112">
        <v>34.509606615072101</v>
      </c>
      <c r="AH64" s="112"/>
      <c r="AJ64" s="113">
        <v>4.9000000000000004</v>
      </c>
      <c r="AK64" s="113">
        <v>83.531176588064099</v>
      </c>
      <c r="AN64" s="157">
        <v>4.9000000000000004</v>
      </c>
      <c r="AO64" s="157">
        <v>3183.839434</v>
      </c>
      <c r="AP64" s="157">
        <v>3917.0653219999999</v>
      </c>
      <c r="AQ64" s="157">
        <v>4602.2362359999997</v>
      </c>
      <c r="AR64" s="157">
        <v>6067.1378510000004</v>
      </c>
      <c r="AS64" s="157">
        <v>9182.4989920000007</v>
      </c>
      <c r="AT64" s="157">
        <v>12970.75884</v>
      </c>
      <c r="AV64" s="66">
        <v>4.9000000000000004</v>
      </c>
      <c r="AW64" s="66">
        <v>1632.90391519778</v>
      </c>
      <c r="AX64" s="66">
        <v>2103.3776083889302</v>
      </c>
      <c r="AY64" s="66">
        <v>2528.8966488534202</v>
      </c>
      <c r="AZ64" s="66">
        <v>3572.1546241998699</v>
      </c>
      <c r="BA64" s="66">
        <v>6500.4270500990797</v>
      </c>
      <c r="BB64" s="66">
        <v>10068.688801545</v>
      </c>
    </row>
    <row r="65" spans="1:54" ht="15" x14ac:dyDescent="0.25">
      <c r="A65" s="127">
        <v>5</v>
      </c>
      <c r="B65" s="127">
        <v>69.9048709273508</v>
      </c>
      <c r="C65" s="127">
        <v>73.001758577512902</v>
      </c>
      <c r="D65" s="127">
        <v>74.772343764264704</v>
      </c>
      <c r="E65" s="127">
        <v>81.573533595406403</v>
      </c>
      <c r="F65" s="127">
        <v>100.61059254145501</v>
      </c>
      <c r="G65" s="127">
        <v>135.437289712065</v>
      </c>
      <c r="H65" s="127">
        <v>206.00717608408999</v>
      </c>
      <c r="I65" s="127">
        <v>420.01575710943399</v>
      </c>
      <c r="K65" s="66">
        <v>5</v>
      </c>
      <c r="L65" s="66">
        <v>98.396237308842302</v>
      </c>
      <c r="M65" s="66">
        <v>100.873747428972</v>
      </c>
      <c r="N65" s="66">
        <v>105.68684299672699</v>
      </c>
      <c r="O65" s="66">
        <v>113.106322812518</v>
      </c>
      <c r="P65" s="66">
        <v>135.437289712065</v>
      </c>
      <c r="Q65" s="66">
        <v>179.42890719073</v>
      </c>
      <c r="R65" s="66">
        <v>264.66266605564402</v>
      </c>
      <c r="S65" s="66">
        <v>528.77132445519806</v>
      </c>
      <c r="T65" s="66">
        <v>540.42370667081502</v>
      </c>
      <c r="V65" s="126">
        <v>5</v>
      </c>
      <c r="W65" s="126">
        <v>163.43087800000001</v>
      </c>
      <c r="X65" s="126">
        <v>167.14714309999999</v>
      </c>
      <c r="Y65" s="126">
        <v>174.9353213</v>
      </c>
      <c r="Z65" s="126">
        <v>187.30112099999999</v>
      </c>
      <c r="AA65" s="126">
        <v>225.2535087</v>
      </c>
      <c r="AB65" s="126">
        <v>290.32444290000001</v>
      </c>
      <c r="AC65" s="126">
        <v>410.38489900000002</v>
      </c>
      <c r="AD65" s="126">
        <v>799.88341730000002</v>
      </c>
      <c r="AF65" s="112">
        <v>5</v>
      </c>
      <c r="AG65" s="112">
        <v>34.509606615072101</v>
      </c>
      <c r="AH65" s="112"/>
      <c r="AJ65" s="113">
        <v>5</v>
      </c>
      <c r="AK65" s="113">
        <v>83.531176588064099</v>
      </c>
      <c r="AN65" s="157">
        <v>5</v>
      </c>
      <c r="AO65" s="157">
        <v>3183.839434</v>
      </c>
      <c r="AP65" s="157">
        <v>3827.9310970000001</v>
      </c>
      <c r="AQ65" s="157">
        <v>4602.2362359999997</v>
      </c>
      <c r="AR65" s="157">
        <v>6067.1378510000004</v>
      </c>
      <c r="AS65" s="157">
        <v>9182.4989920000007</v>
      </c>
      <c r="AT65" s="157">
        <v>12970.75884</v>
      </c>
      <c r="AV65" s="66">
        <v>5</v>
      </c>
      <c r="AW65" s="66">
        <v>1632.90391519778</v>
      </c>
      <c r="AX65" s="66">
        <v>2103.3776083889302</v>
      </c>
      <c r="AY65" s="66">
        <v>2528.8966488534202</v>
      </c>
      <c r="AZ65" s="66">
        <v>3572.1546241998699</v>
      </c>
      <c r="BA65" s="66">
        <v>6500.4270500990797</v>
      </c>
      <c r="BB65" s="66">
        <v>10068.688801545</v>
      </c>
    </row>
    <row r="66" spans="1:54" ht="15" x14ac:dyDescent="0.25">
      <c r="A66" s="127">
        <v>5.0999999999999996</v>
      </c>
      <c r="B66" s="127">
        <v>69.9048709273508</v>
      </c>
      <c r="C66" s="127">
        <v>73.001758577512902</v>
      </c>
      <c r="D66" s="127">
        <v>74.772343764264704</v>
      </c>
      <c r="E66" s="127">
        <v>81.573533595406403</v>
      </c>
      <c r="F66" s="127">
        <v>100.61059254145501</v>
      </c>
      <c r="G66" s="127">
        <v>135.437289712065</v>
      </c>
      <c r="H66" s="127">
        <v>206.00717608408999</v>
      </c>
      <c r="I66" s="127">
        <v>420.01575710943399</v>
      </c>
      <c r="K66" s="66">
        <v>5.0999999999999996</v>
      </c>
      <c r="L66" s="66">
        <v>98.396237308842302</v>
      </c>
      <c r="M66" s="66">
        <v>100.873747428972</v>
      </c>
      <c r="N66" s="66">
        <v>105.68684299672699</v>
      </c>
      <c r="O66" s="66">
        <v>113.106322812518</v>
      </c>
      <c r="P66" s="66">
        <v>135.437289712065</v>
      </c>
      <c r="Q66" s="66">
        <v>174.84644703670301</v>
      </c>
      <c r="R66" s="66">
        <v>264.66266605564402</v>
      </c>
      <c r="S66" s="66">
        <v>516.34211675853896</v>
      </c>
      <c r="T66" s="66">
        <v>540.42370667081502</v>
      </c>
      <c r="V66" s="126">
        <v>5.0999999999999996</v>
      </c>
      <c r="W66" s="126">
        <v>159.7146128</v>
      </c>
      <c r="X66" s="126">
        <v>167.14714309999999</v>
      </c>
      <c r="Y66" s="126">
        <v>171.22558140000001</v>
      </c>
      <c r="Z66" s="126">
        <v>182.9730911</v>
      </c>
      <c r="AA66" s="126">
        <v>220.67104860000001</v>
      </c>
      <c r="AB66" s="126">
        <v>283.90899869999998</v>
      </c>
      <c r="AC66" s="126">
        <v>410.38489900000002</v>
      </c>
      <c r="AD66" s="126">
        <v>781.23960580000005</v>
      </c>
      <c r="AF66" s="112">
        <v>5.0999999999999996</v>
      </c>
      <c r="AG66" s="112">
        <v>34.509606615072101</v>
      </c>
      <c r="AH66" s="112"/>
      <c r="AJ66" s="113">
        <v>5.0999999999999996</v>
      </c>
      <c r="AK66" s="113">
        <v>81.6730439979669</v>
      </c>
      <c r="AN66" s="157">
        <v>5.0999999999999996</v>
      </c>
      <c r="AO66" s="157">
        <v>3111.7569739999999</v>
      </c>
      <c r="AP66" s="157">
        <v>3827.9310970000001</v>
      </c>
      <c r="AQ66" s="157">
        <v>4602.2362359999997</v>
      </c>
      <c r="AR66" s="157">
        <v>6067.1378510000004</v>
      </c>
      <c r="AS66" s="157">
        <v>8973.1902929999997</v>
      </c>
      <c r="AT66" s="157">
        <v>12970.75884</v>
      </c>
      <c r="AV66" s="66">
        <v>5.0999999999999996</v>
      </c>
      <c r="AW66" s="66">
        <v>1632.90391519778</v>
      </c>
      <c r="AX66" s="66">
        <v>2103.3776083889302</v>
      </c>
      <c r="AY66" s="66">
        <v>2528.8966488534202</v>
      </c>
      <c r="AZ66" s="66">
        <v>3572.1546241998699</v>
      </c>
      <c r="BA66" s="66">
        <v>6500.4270500990797</v>
      </c>
      <c r="BB66" s="66">
        <v>10068.688801545</v>
      </c>
    </row>
    <row r="67" spans="1:54" ht="15" x14ac:dyDescent="0.25">
      <c r="A67" s="127">
        <v>5.2</v>
      </c>
      <c r="B67" s="127">
        <v>69.9048709273508</v>
      </c>
      <c r="C67" s="127">
        <v>73.001758577512902</v>
      </c>
      <c r="D67" s="127">
        <v>74.772343764264704</v>
      </c>
      <c r="E67" s="127">
        <v>81.573533595406403</v>
      </c>
      <c r="F67" s="127">
        <v>100.61059254145501</v>
      </c>
      <c r="G67" s="127">
        <v>135.437289712065</v>
      </c>
      <c r="H67" s="127">
        <v>206.00717608408999</v>
      </c>
      <c r="I67" s="127">
        <v>409.917025855899</v>
      </c>
      <c r="K67" s="66">
        <v>5.2</v>
      </c>
      <c r="L67" s="66">
        <v>98.396237308842302</v>
      </c>
      <c r="M67" s="66">
        <v>100.873747428972</v>
      </c>
      <c r="N67" s="66">
        <v>105.68684299672699</v>
      </c>
      <c r="O67" s="66">
        <v>113.106322812518</v>
      </c>
      <c r="P67" s="66">
        <v>135.437289712065</v>
      </c>
      <c r="Q67" s="66">
        <v>174.84644703670301</v>
      </c>
      <c r="R67" s="66">
        <v>259.16371387081102</v>
      </c>
      <c r="S67" s="66">
        <v>516.34211675853896</v>
      </c>
      <c r="T67" s="66">
        <v>540.42370667081502</v>
      </c>
      <c r="V67" s="126">
        <v>5.2</v>
      </c>
      <c r="W67" s="126">
        <v>159.7146128</v>
      </c>
      <c r="X67" s="126">
        <v>163.43087800000001</v>
      </c>
      <c r="Y67" s="126">
        <v>171.22558140000001</v>
      </c>
      <c r="Z67" s="126">
        <v>182.9730911</v>
      </c>
      <c r="AA67" s="126">
        <v>220.67104860000001</v>
      </c>
      <c r="AB67" s="126">
        <v>283.90899869999998</v>
      </c>
      <c r="AC67" s="126">
        <v>410.38489900000002</v>
      </c>
      <c r="AD67" s="126">
        <v>781.23960580000005</v>
      </c>
      <c r="AF67" s="112">
        <v>5.2</v>
      </c>
      <c r="AG67" s="112">
        <v>34.509606615072101</v>
      </c>
      <c r="AH67" s="112"/>
      <c r="AJ67" s="113">
        <v>5.2</v>
      </c>
      <c r="AK67" s="113">
        <v>81.6730439979669</v>
      </c>
      <c r="AN67" s="157">
        <v>5.2</v>
      </c>
      <c r="AO67" s="157">
        <v>3111.7569739999999</v>
      </c>
      <c r="AP67" s="157">
        <v>3741.122112</v>
      </c>
      <c r="AQ67" s="157">
        <v>4497.6004059999996</v>
      </c>
      <c r="AR67" s="157">
        <v>5929.1735710000003</v>
      </c>
      <c r="AS67" s="157">
        <v>8973.1902929999997</v>
      </c>
      <c r="AT67" s="157">
        <v>12970.75884</v>
      </c>
      <c r="AV67" s="66">
        <v>5.2</v>
      </c>
      <c r="AW67" s="66">
        <v>1595.7000646653601</v>
      </c>
      <c r="AX67" s="66">
        <v>2103.3776083889302</v>
      </c>
      <c r="AY67" s="66">
        <v>2528.8966488534202</v>
      </c>
      <c r="AZ67" s="66">
        <v>3572.1546241998699</v>
      </c>
      <c r="BA67" s="66">
        <v>6500.4270500990797</v>
      </c>
      <c r="BB67" s="66">
        <v>10068.688801545</v>
      </c>
    </row>
    <row r="68" spans="1:54" ht="15" x14ac:dyDescent="0.25">
      <c r="A68" s="127">
        <v>5.3</v>
      </c>
      <c r="B68" s="127">
        <v>69.9048709273508</v>
      </c>
      <c r="C68" s="127">
        <v>73.001758577512902</v>
      </c>
      <c r="D68" s="127">
        <v>74.772343764264704</v>
      </c>
      <c r="E68" s="127">
        <v>81.573533595406403</v>
      </c>
      <c r="F68" s="127">
        <v>100.61059254145501</v>
      </c>
      <c r="G68" s="127">
        <v>135.437289712065</v>
      </c>
      <c r="H68" s="127">
        <v>206.00717608408999</v>
      </c>
      <c r="I68" s="127">
        <v>409.917025855899</v>
      </c>
      <c r="K68" s="66">
        <v>5.3</v>
      </c>
      <c r="L68" s="66">
        <v>98.396237308842302</v>
      </c>
      <c r="M68" s="66">
        <v>100.873747428972</v>
      </c>
      <c r="N68" s="66">
        <v>105.68684299672699</v>
      </c>
      <c r="O68" s="66">
        <v>113.106322812518</v>
      </c>
      <c r="P68" s="66">
        <v>135.437289712065</v>
      </c>
      <c r="Q68" s="66">
        <v>174.84644703670301</v>
      </c>
      <c r="R68" s="66">
        <v>259.16371387081102</v>
      </c>
      <c r="S68" s="66">
        <v>516.34211675853896</v>
      </c>
      <c r="T68" s="66">
        <v>540.42370667081502</v>
      </c>
      <c r="V68" s="126">
        <v>5.3</v>
      </c>
      <c r="W68" s="126">
        <v>159.7146128</v>
      </c>
      <c r="X68" s="126">
        <v>163.43087800000001</v>
      </c>
      <c r="Y68" s="126">
        <v>171.22558140000001</v>
      </c>
      <c r="Z68" s="126">
        <v>182.9730911</v>
      </c>
      <c r="AA68" s="126">
        <v>220.67104860000001</v>
      </c>
      <c r="AB68" s="126">
        <v>283.90899869999998</v>
      </c>
      <c r="AC68" s="126">
        <v>401.21997859999999</v>
      </c>
      <c r="AD68" s="126">
        <v>781.23960580000005</v>
      </c>
      <c r="AF68" s="112">
        <v>5.3</v>
      </c>
      <c r="AG68" s="112">
        <v>34.509606615072101</v>
      </c>
      <c r="AH68" s="112"/>
      <c r="AJ68" s="113">
        <v>5.3</v>
      </c>
      <c r="AK68" s="113">
        <v>81.6730439979669</v>
      </c>
      <c r="AN68" s="157">
        <v>5.3</v>
      </c>
      <c r="AO68" s="157">
        <v>3040.4495940000002</v>
      </c>
      <c r="AP68" s="157">
        <v>3741.122112</v>
      </c>
      <c r="AQ68" s="157">
        <v>4497.6004059999996</v>
      </c>
      <c r="AR68" s="157">
        <v>5929.1735710000003</v>
      </c>
      <c r="AS68" s="157">
        <v>8973.1902929999997</v>
      </c>
      <c r="AT68" s="157">
        <v>12675.781129999999</v>
      </c>
      <c r="AV68" s="66">
        <v>5.3</v>
      </c>
      <c r="AW68" s="66">
        <v>1595.7000646653601</v>
      </c>
      <c r="AX68" s="66">
        <v>2103.3776083889302</v>
      </c>
      <c r="AY68" s="66">
        <v>2528.8966488534202</v>
      </c>
      <c r="AZ68" s="66">
        <v>3572.1546241998699</v>
      </c>
      <c r="BA68" s="66">
        <v>6500.4270500990797</v>
      </c>
      <c r="BB68" s="66">
        <v>10068.688801545</v>
      </c>
    </row>
    <row r="69" spans="1:54" ht="15" x14ac:dyDescent="0.25">
      <c r="A69" s="127">
        <v>5.4</v>
      </c>
      <c r="B69" s="127">
        <v>69.9048709273508</v>
      </c>
      <c r="C69" s="127">
        <v>73.001758577512902</v>
      </c>
      <c r="D69" s="127">
        <v>74.772343764264704</v>
      </c>
      <c r="E69" s="127">
        <v>81.573533595406403</v>
      </c>
      <c r="F69" s="127">
        <v>100.61059254145501</v>
      </c>
      <c r="G69" s="127">
        <v>132.68781361964901</v>
      </c>
      <c r="H69" s="127">
        <v>200.50822389925699</v>
      </c>
      <c r="I69" s="127">
        <v>409.917025855899</v>
      </c>
      <c r="K69" s="66">
        <v>5.4</v>
      </c>
      <c r="L69" s="66">
        <v>98.396237308842302</v>
      </c>
      <c r="M69" s="66">
        <v>100.873747428972</v>
      </c>
      <c r="N69" s="66">
        <v>105.68684299672699</v>
      </c>
      <c r="O69" s="66">
        <v>113.106322812518</v>
      </c>
      <c r="P69" s="66">
        <v>135.437289712065</v>
      </c>
      <c r="Q69" s="66">
        <v>174.84644703670301</v>
      </c>
      <c r="R69" s="66">
        <v>259.16371387081102</v>
      </c>
      <c r="S69" s="66">
        <v>516.34211675853896</v>
      </c>
      <c r="T69" s="66">
        <v>540.42370667081502</v>
      </c>
      <c r="V69" s="126">
        <v>5.4</v>
      </c>
      <c r="W69" s="126">
        <v>155.99834759999999</v>
      </c>
      <c r="X69" s="126">
        <v>163.43087800000001</v>
      </c>
      <c r="Y69" s="126">
        <v>166.89755149999999</v>
      </c>
      <c r="Z69" s="126">
        <v>179.26335119999999</v>
      </c>
      <c r="AA69" s="126">
        <v>215.17209639999999</v>
      </c>
      <c r="AB69" s="126">
        <v>277.49355450000002</v>
      </c>
      <c r="AC69" s="126">
        <v>401.21997859999999</v>
      </c>
      <c r="AD69" s="126">
        <v>764.14944519999995</v>
      </c>
      <c r="AF69" s="112">
        <v>5.4</v>
      </c>
      <c r="AG69" s="112">
        <v>34.509606615072101</v>
      </c>
      <c r="AH69" s="112"/>
      <c r="AJ69" s="113">
        <v>5.4</v>
      </c>
      <c r="AK69" s="113">
        <v>81.6730439979669</v>
      </c>
      <c r="AN69" s="157">
        <v>5.4</v>
      </c>
      <c r="AO69" s="157">
        <v>3040.4495940000002</v>
      </c>
      <c r="AP69" s="157">
        <v>3741.122112</v>
      </c>
      <c r="AQ69" s="157">
        <v>4497.6004059999996</v>
      </c>
      <c r="AR69" s="157">
        <v>5929.1735710000003</v>
      </c>
      <c r="AS69" s="157">
        <v>8769.7227660000008</v>
      </c>
      <c r="AT69" s="157">
        <v>12675.781129999999</v>
      </c>
      <c r="AV69" s="66">
        <v>5.4</v>
      </c>
      <c r="AW69" s="66">
        <v>1595.7000646653601</v>
      </c>
      <c r="AX69" s="66">
        <v>2103.3776083889302</v>
      </c>
      <c r="AY69" s="66">
        <v>2471.5407126159498</v>
      </c>
      <c r="AZ69" s="66">
        <v>3572.1546241998699</v>
      </c>
      <c r="BA69" s="66">
        <v>6500.4270500990797</v>
      </c>
      <c r="BB69" s="66">
        <v>10068.688801545</v>
      </c>
    </row>
    <row r="70" spans="1:54" ht="15" x14ac:dyDescent="0.25">
      <c r="A70" s="127">
        <v>5.5</v>
      </c>
      <c r="B70" s="127">
        <v>69.9048709273508</v>
      </c>
      <c r="C70" s="127">
        <v>73.001758577512902</v>
      </c>
      <c r="D70" s="127">
        <v>74.772343764264704</v>
      </c>
      <c r="E70" s="127">
        <v>81.573533595406403</v>
      </c>
      <c r="F70" s="127">
        <v>100.61059254145501</v>
      </c>
      <c r="G70" s="127">
        <v>132.68781361964901</v>
      </c>
      <c r="H70" s="127">
        <v>200.50822389925699</v>
      </c>
      <c r="I70" s="127">
        <v>409.917025855899</v>
      </c>
      <c r="K70" s="66">
        <v>5.5</v>
      </c>
      <c r="L70" s="66">
        <v>95.918727188712595</v>
      </c>
      <c r="M70" s="66">
        <v>100.873747428972</v>
      </c>
      <c r="N70" s="66">
        <v>105.68684299672699</v>
      </c>
      <c r="O70" s="66">
        <v>113.106322812518</v>
      </c>
      <c r="P70" s="66">
        <v>135.437289712065</v>
      </c>
      <c r="Q70" s="66">
        <v>174.84644703670301</v>
      </c>
      <c r="R70" s="66">
        <v>259.16371387081102</v>
      </c>
      <c r="S70" s="66">
        <v>516.34211675853896</v>
      </c>
      <c r="T70" s="66">
        <v>540.42370667081502</v>
      </c>
      <c r="V70" s="126">
        <v>5.5</v>
      </c>
      <c r="W70" s="126">
        <v>155.99834759999999</v>
      </c>
      <c r="X70" s="126">
        <v>159.7146128</v>
      </c>
      <c r="Y70" s="126">
        <v>166.89755149999999</v>
      </c>
      <c r="Z70" s="126">
        <v>179.26335119999999</v>
      </c>
      <c r="AA70" s="126">
        <v>215.17209639999999</v>
      </c>
      <c r="AB70" s="126">
        <v>277.49355450000002</v>
      </c>
      <c r="AC70" s="126">
        <v>401.21997859999999</v>
      </c>
      <c r="AD70" s="126">
        <v>764.14944519999995</v>
      </c>
      <c r="AF70" s="112">
        <v>5.5</v>
      </c>
      <c r="AG70" s="112">
        <v>34.509606615072101</v>
      </c>
      <c r="AH70" s="112"/>
      <c r="AJ70" s="113">
        <v>5.5</v>
      </c>
      <c r="AK70" s="113">
        <v>81.6730439979669</v>
      </c>
      <c r="AN70" s="157">
        <v>5.5</v>
      </c>
      <c r="AO70" s="157">
        <v>2971.4674540000001</v>
      </c>
      <c r="AP70" s="157">
        <v>3655.863288</v>
      </c>
      <c r="AQ70" s="157">
        <v>4395.2898169999999</v>
      </c>
      <c r="AR70" s="157">
        <v>5929.1735710000003</v>
      </c>
      <c r="AS70" s="157">
        <v>8769.7227660000008</v>
      </c>
      <c r="AT70" s="157">
        <v>12675.781129999999</v>
      </c>
      <c r="AV70" s="66">
        <v>5.5</v>
      </c>
      <c r="AW70" s="66">
        <v>1595.7000646653601</v>
      </c>
      <c r="AX70" s="66">
        <v>2103.3776083889302</v>
      </c>
      <c r="AY70" s="66">
        <v>2471.5407126159498</v>
      </c>
      <c r="AZ70" s="66">
        <v>3490.7712011602098</v>
      </c>
      <c r="BA70" s="66">
        <v>6500.4270500990797</v>
      </c>
      <c r="BB70" s="66">
        <v>10068.688801545</v>
      </c>
    </row>
    <row r="71" spans="1:54" ht="15" x14ac:dyDescent="0.25">
      <c r="A71" s="127">
        <v>5.6</v>
      </c>
      <c r="B71" s="127">
        <v>69.9048709273508</v>
      </c>
      <c r="C71" s="127">
        <v>73.001758577512902</v>
      </c>
      <c r="D71" s="127">
        <v>74.772343764264704</v>
      </c>
      <c r="E71" s="127">
        <v>81.573533595406403</v>
      </c>
      <c r="F71" s="127">
        <v>100.61059254145501</v>
      </c>
      <c r="G71" s="127">
        <v>132.68781361964901</v>
      </c>
      <c r="H71" s="127">
        <v>200.50822389925699</v>
      </c>
      <c r="I71" s="127">
        <v>409.917025855899</v>
      </c>
      <c r="K71" s="66">
        <v>5.6</v>
      </c>
      <c r="L71" s="66">
        <v>95.918727188712595</v>
      </c>
      <c r="M71" s="66">
        <v>100.873747428972</v>
      </c>
      <c r="N71" s="66">
        <v>103.21368305813</v>
      </c>
      <c r="O71" s="66">
        <v>110.63316287392099</v>
      </c>
      <c r="P71" s="66">
        <v>135.437289712065</v>
      </c>
      <c r="Q71" s="66">
        <v>174.84644703670301</v>
      </c>
      <c r="R71" s="66">
        <v>259.16371387081102</v>
      </c>
      <c r="S71" s="66">
        <v>516.34211675853896</v>
      </c>
      <c r="T71" s="66">
        <v>528.77132445519806</v>
      </c>
      <c r="V71" s="126">
        <v>5.6</v>
      </c>
      <c r="W71" s="126">
        <v>155.99834759999999</v>
      </c>
      <c r="X71" s="126">
        <v>159.7146128</v>
      </c>
      <c r="Y71" s="126">
        <v>163.1878116</v>
      </c>
      <c r="Z71" s="126">
        <v>179.26335119999999</v>
      </c>
      <c r="AA71" s="126">
        <v>215.17209639999999</v>
      </c>
      <c r="AB71" s="126">
        <v>277.49355450000002</v>
      </c>
      <c r="AC71" s="126">
        <v>392.05505829999998</v>
      </c>
      <c r="AD71" s="126">
        <v>764.14944519999995</v>
      </c>
      <c r="AF71" s="112">
        <v>5.6</v>
      </c>
      <c r="AG71" s="112">
        <v>34.509606615072101</v>
      </c>
      <c r="AH71" s="112"/>
      <c r="AJ71" s="113">
        <v>5.6</v>
      </c>
      <c r="AK71" s="113">
        <v>81.6730439979669</v>
      </c>
      <c r="AN71" s="157">
        <v>5.6</v>
      </c>
      <c r="AO71" s="157">
        <v>2971.4674540000001</v>
      </c>
      <c r="AP71" s="157">
        <v>3655.863288</v>
      </c>
      <c r="AQ71" s="157">
        <v>4395.2898169999999</v>
      </c>
      <c r="AR71" s="157">
        <v>5793.534533</v>
      </c>
      <c r="AS71" s="157">
        <v>8769.7227660000008</v>
      </c>
      <c r="AT71" s="157">
        <v>12675.781129999999</v>
      </c>
      <c r="AV71" s="66">
        <v>5.6</v>
      </c>
      <c r="AW71" s="66">
        <v>1559.27129435238</v>
      </c>
      <c r="AX71" s="66">
        <v>2056.0977150039898</v>
      </c>
      <c r="AY71" s="66">
        <v>2471.5407126159498</v>
      </c>
      <c r="AZ71" s="66">
        <v>3490.7712011602098</v>
      </c>
      <c r="BA71" s="66">
        <v>6352.4506670854698</v>
      </c>
      <c r="BB71" s="66">
        <v>10068.688801545</v>
      </c>
    </row>
    <row r="72" spans="1:54" ht="15" x14ac:dyDescent="0.25">
      <c r="A72" s="127">
        <v>5.7</v>
      </c>
      <c r="B72" s="127">
        <v>69.9048709273508</v>
      </c>
      <c r="C72" s="127">
        <v>73.001758577512902</v>
      </c>
      <c r="D72" s="127">
        <v>74.772343764264704</v>
      </c>
      <c r="E72" s="127">
        <v>81.573533595406403</v>
      </c>
      <c r="F72" s="127">
        <v>100.61059254145501</v>
      </c>
      <c r="G72" s="127">
        <v>132.68781361964901</v>
      </c>
      <c r="H72" s="127">
        <v>200.50822389925699</v>
      </c>
      <c r="I72" s="127">
        <v>409.917025855899</v>
      </c>
      <c r="K72" s="66">
        <v>5.7</v>
      </c>
      <c r="L72" s="66">
        <v>95.918727188712595</v>
      </c>
      <c r="M72" s="66">
        <v>100.873747428972</v>
      </c>
      <c r="N72" s="66">
        <v>103.21368305813</v>
      </c>
      <c r="O72" s="66">
        <v>110.63316287392099</v>
      </c>
      <c r="P72" s="66">
        <v>135.437289712065</v>
      </c>
      <c r="Q72" s="66">
        <v>174.84644703670301</v>
      </c>
      <c r="R72" s="66">
        <v>259.16371387081102</v>
      </c>
      <c r="S72" s="66">
        <v>516.34211675853896</v>
      </c>
      <c r="T72" s="66">
        <v>528.77132445519806</v>
      </c>
      <c r="V72" s="126">
        <v>5.7</v>
      </c>
      <c r="W72" s="126">
        <v>152.28208240000001</v>
      </c>
      <c r="X72" s="126">
        <v>159.7146128</v>
      </c>
      <c r="Y72" s="126">
        <v>163.1878116</v>
      </c>
      <c r="Z72" s="126">
        <v>174.9353213</v>
      </c>
      <c r="AA72" s="126">
        <v>215.17209639999999</v>
      </c>
      <c r="AB72" s="126">
        <v>277.49355450000002</v>
      </c>
      <c r="AC72" s="126">
        <v>392.05505829999998</v>
      </c>
      <c r="AD72" s="126">
        <v>746.28245909999998</v>
      </c>
      <c r="AF72" s="112">
        <v>5.7</v>
      </c>
      <c r="AG72" s="112">
        <v>34.509606615072101</v>
      </c>
      <c r="AH72" s="112"/>
      <c r="AJ72" s="113">
        <v>5.7</v>
      </c>
      <c r="AK72" s="113">
        <v>81.6730439979669</v>
      </c>
      <c r="AN72" s="157">
        <v>5.7</v>
      </c>
      <c r="AO72" s="157">
        <v>2971.4674540000001</v>
      </c>
      <c r="AP72" s="157">
        <v>3572.1546239999998</v>
      </c>
      <c r="AQ72" s="157">
        <v>4395.2898169999999</v>
      </c>
      <c r="AR72" s="157">
        <v>5793.534533</v>
      </c>
      <c r="AS72" s="157">
        <v>8570.1493549999996</v>
      </c>
      <c r="AT72" s="157">
        <v>12675.781129999999</v>
      </c>
      <c r="AV72" s="66">
        <v>5.7</v>
      </c>
      <c r="AW72" s="66">
        <v>1559.27129435238</v>
      </c>
      <c r="AX72" s="66">
        <v>2056.0977150039898</v>
      </c>
      <c r="AY72" s="66">
        <v>2471.5407126159498</v>
      </c>
      <c r="AZ72" s="66">
        <v>3490.7712011602098</v>
      </c>
      <c r="BA72" s="66">
        <v>6352.4506670854698</v>
      </c>
      <c r="BB72" s="66">
        <v>10068.688801545</v>
      </c>
    </row>
    <row r="73" spans="1:54" ht="15" x14ac:dyDescent="0.25">
      <c r="A73" s="127">
        <v>5.8</v>
      </c>
      <c r="B73" s="127">
        <v>69.9048709273508</v>
      </c>
      <c r="C73" s="127">
        <v>73.001758577512902</v>
      </c>
      <c r="D73" s="127">
        <v>74.772343764264704</v>
      </c>
      <c r="E73" s="127">
        <v>81.573533595406403</v>
      </c>
      <c r="F73" s="127">
        <v>100.61059254145501</v>
      </c>
      <c r="G73" s="127">
        <v>132.68781361964901</v>
      </c>
      <c r="H73" s="127">
        <v>200.50822389925699</v>
      </c>
      <c r="I73" s="127">
        <v>409.917025855899</v>
      </c>
      <c r="K73" s="66">
        <v>5.8</v>
      </c>
      <c r="L73" s="66">
        <v>95.918727188712595</v>
      </c>
      <c r="M73" s="66">
        <v>100.873747428972</v>
      </c>
      <c r="N73" s="66">
        <v>103.21368305813</v>
      </c>
      <c r="O73" s="66">
        <v>110.63316287392099</v>
      </c>
      <c r="P73" s="66">
        <v>132.68781361964901</v>
      </c>
      <c r="Q73" s="66">
        <v>174.84644703670301</v>
      </c>
      <c r="R73" s="66">
        <v>259.16371387081102</v>
      </c>
      <c r="S73" s="66">
        <v>516.34211675853896</v>
      </c>
      <c r="T73" s="66">
        <v>528.77132445519806</v>
      </c>
      <c r="V73" s="126">
        <v>5.8</v>
      </c>
      <c r="W73" s="126">
        <v>152.28208240000001</v>
      </c>
      <c r="X73" s="126">
        <v>155.99834759999999</v>
      </c>
      <c r="Y73" s="126">
        <v>163.1878116</v>
      </c>
      <c r="Z73" s="126">
        <v>174.9353213</v>
      </c>
      <c r="AA73" s="126">
        <v>210.5896362</v>
      </c>
      <c r="AB73" s="126">
        <v>271.07811029999999</v>
      </c>
      <c r="AC73" s="126">
        <v>392.05505829999998</v>
      </c>
      <c r="AD73" s="126">
        <v>746.28245909999998</v>
      </c>
      <c r="AF73" s="112">
        <v>5.8</v>
      </c>
      <c r="AG73" s="112">
        <v>34.509606615072101</v>
      </c>
      <c r="AH73" s="112"/>
      <c r="AJ73" s="113">
        <v>5.8</v>
      </c>
      <c r="AK73" s="113">
        <v>81.6730439979669</v>
      </c>
      <c r="AN73" s="157">
        <v>5.8</v>
      </c>
      <c r="AO73" s="157">
        <v>2904.0354750000001</v>
      </c>
      <c r="AP73" s="157">
        <v>3572.1546239999998</v>
      </c>
      <c r="AQ73" s="157">
        <v>4395.2898169999999</v>
      </c>
      <c r="AR73" s="157">
        <v>5793.534533</v>
      </c>
      <c r="AS73" s="157">
        <v>8570.1493549999996</v>
      </c>
      <c r="AT73" s="157">
        <v>12675.781129999999</v>
      </c>
      <c r="AV73" s="66">
        <v>5.8</v>
      </c>
      <c r="AW73" s="66">
        <v>1559.27129435238</v>
      </c>
      <c r="AX73" s="66">
        <v>2056.0977150039898</v>
      </c>
      <c r="AY73" s="66">
        <v>2471.5407126159498</v>
      </c>
      <c r="AZ73" s="66">
        <v>3490.7712011602098</v>
      </c>
      <c r="BA73" s="66">
        <v>6352.4506670854698</v>
      </c>
      <c r="BB73" s="66">
        <v>10068.688801545</v>
      </c>
    </row>
    <row r="74" spans="1:54" ht="15" x14ac:dyDescent="0.25">
      <c r="A74" s="127">
        <v>5.9</v>
      </c>
      <c r="B74" s="127">
        <v>69.9048709273508</v>
      </c>
      <c r="C74" s="127">
        <v>71.143625987415604</v>
      </c>
      <c r="D74" s="127">
        <v>74.772343764264704</v>
      </c>
      <c r="E74" s="127">
        <v>79.718663641458704</v>
      </c>
      <c r="F74" s="127">
        <v>100.61059254145501</v>
      </c>
      <c r="G74" s="127">
        <v>132.68781361964901</v>
      </c>
      <c r="H74" s="127">
        <v>200.50822389925699</v>
      </c>
      <c r="I74" s="127">
        <v>409.917025855899</v>
      </c>
      <c r="K74" s="66">
        <v>5.9</v>
      </c>
      <c r="L74" s="66">
        <v>95.918727188712595</v>
      </c>
      <c r="M74" s="66">
        <v>100.873747428972</v>
      </c>
      <c r="N74" s="66">
        <v>103.21368305813</v>
      </c>
      <c r="O74" s="66">
        <v>110.63316287392099</v>
      </c>
      <c r="P74" s="66">
        <v>132.68781361964901</v>
      </c>
      <c r="Q74" s="66">
        <v>174.84644703670301</v>
      </c>
      <c r="R74" s="66">
        <v>259.16371387081102</v>
      </c>
      <c r="S74" s="66">
        <v>516.34211675853896</v>
      </c>
      <c r="T74" s="66">
        <v>528.77132445519806</v>
      </c>
      <c r="V74" s="126">
        <v>5.9</v>
      </c>
      <c r="W74" s="126">
        <v>149.1851948</v>
      </c>
      <c r="X74" s="126">
        <v>155.99834759999999</v>
      </c>
      <c r="Y74" s="126">
        <v>159.47807169999999</v>
      </c>
      <c r="Z74" s="126">
        <v>174.9353213</v>
      </c>
      <c r="AA74" s="126">
        <v>210.5896362</v>
      </c>
      <c r="AB74" s="126">
        <v>271.07811029999999</v>
      </c>
      <c r="AC74" s="126">
        <v>392.05505829999998</v>
      </c>
      <c r="AD74" s="126">
        <v>746.28245909999998</v>
      </c>
      <c r="AF74" s="112">
        <v>5.9</v>
      </c>
      <c r="AG74" s="112">
        <v>34.509606615072101</v>
      </c>
      <c r="AH74" s="112"/>
      <c r="AJ74" s="113">
        <v>5.9</v>
      </c>
      <c r="AK74" s="113">
        <v>79.814911407869602</v>
      </c>
      <c r="AN74" s="157">
        <v>5.9</v>
      </c>
      <c r="AO74" s="157">
        <v>2904.0354750000001</v>
      </c>
      <c r="AP74" s="157">
        <v>3572.1546239999998</v>
      </c>
      <c r="AQ74" s="157">
        <v>4295.3044689999997</v>
      </c>
      <c r="AR74" s="157">
        <v>5793.534533</v>
      </c>
      <c r="AS74" s="157">
        <v>8570.1493549999996</v>
      </c>
      <c r="AT74" s="157">
        <v>12386.85079</v>
      </c>
      <c r="AV74" s="66">
        <v>5.9</v>
      </c>
      <c r="AW74" s="66">
        <v>1559.27129435238</v>
      </c>
      <c r="AX74" s="66">
        <v>2056.0977150039898</v>
      </c>
      <c r="AY74" s="66">
        <v>2471.5407126159498</v>
      </c>
      <c r="AZ74" s="66">
        <v>3490.7712011602098</v>
      </c>
      <c r="BA74" s="66">
        <v>6352.4506670854698</v>
      </c>
      <c r="BB74" s="66">
        <v>10068.688801545</v>
      </c>
    </row>
    <row r="75" spans="1:54" ht="15" x14ac:dyDescent="0.25">
      <c r="A75" s="127">
        <v>6</v>
      </c>
      <c r="B75" s="127">
        <v>69.9048709273508</v>
      </c>
      <c r="C75" s="127">
        <v>71.143625987415604</v>
      </c>
      <c r="D75" s="127">
        <v>74.772343764264704</v>
      </c>
      <c r="E75" s="127">
        <v>79.718663641458704</v>
      </c>
      <c r="F75" s="127">
        <v>100.61059254145501</v>
      </c>
      <c r="G75" s="127">
        <v>132.68781361964901</v>
      </c>
      <c r="H75" s="127">
        <v>200.50822389925699</v>
      </c>
      <c r="I75" s="127">
        <v>409.917025855899</v>
      </c>
      <c r="K75" s="66">
        <v>6</v>
      </c>
      <c r="L75" s="66">
        <v>94.060594598615396</v>
      </c>
      <c r="M75" s="66">
        <v>100.873747428972</v>
      </c>
      <c r="N75" s="66">
        <v>103.21368305813</v>
      </c>
      <c r="O75" s="66">
        <v>110.63316287392099</v>
      </c>
      <c r="P75" s="66">
        <v>132.68781361964901</v>
      </c>
      <c r="Q75" s="66">
        <v>171.18047891348101</v>
      </c>
      <c r="R75" s="66">
        <v>259.16371387081102</v>
      </c>
      <c r="S75" s="66">
        <v>504.68973454292097</v>
      </c>
      <c r="T75" s="66">
        <v>528.77132445519806</v>
      </c>
      <c r="V75" s="126">
        <v>6</v>
      </c>
      <c r="W75" s="126">
        <v>149.1851948</v>
      </c>
      <c r="X75" s="126">
        <v>155.99834759999999</v>
      </c>
      <c r="Y75" s="126">
        <v>159.47807169999999</v>
      </c>
      <c r="Z75" s="126">
        <v>171.22558140000001</v>
      </c>
      <c r="AA75" s="126">
        <v>210.5896362</v>
      </c>
      <c r="AB75" s="126">
        <v>271.07811029999999</v>
      </c>
      <c r="AC75" s="126">
        <v>382.89013799999998</v>
      </c>
      <c r="AD75" s="126">
        <v>729.19229859999996</v>
      </c>
      <c r="AF75" s="112">
        <v>6</v>
      </c>
      <c r="AG75" s="112">
        <v>34.509606615072101</v>
      </c>
      <c r="AH75" s="112"/>
      <c r="AJ75" s="113">
        <v>6</v>
      </c>
      <c r="AK75" s="113">
        <v>79.814911407869602</v>
      </c>
      <c r="AN75" s="157">
        <v>6</v>
      </c>
      <c r="AO75" s="157">
        <v>2904.0354750000001</v>
      </c>
      <c r="AP75" s="157">
        <v>3490.771201</v>
      </c>
      <c r="AQ75" s="157">
        <v>4295.3044689999997</v>
      </c>
      <c r="AR75" s="157">
        <v>5661.770896</v>
      </c>
      <c r="AS75" s="157">
        <v>8570.1493549999996</v>
      </c>
      <c r="AT75" s="157">
        <v>12386.85079</v>
      </c>
      <c r="AV75" s="66">
        <v>6</v>
      </c>
      <c r="AW75" s="66">
        <v>1523.6176042588099</v>
      </c>
      <c r="AX75" s="66">
        <v>2056.0977150039898</v>
      </c>
      <c r="AY75" s="66">
        <v>2414.9598565978999</v>
      </c>
      <c r="AZ75" s="66">
        <v>3490.7712011602098</v>
      </c>
      <c r="BA75" s="66">
        <v>6352.4506670854698</v>
      </c>
      <c r="BB75" s="66">
        <v>10068.688801545</v>
      </c>
    </row>
    <row r="76" spans="1:54" ht="15" x14ac:dyDescent="0.25">
      <c r="A76" s="127">
        <v>6.1</v>
      </c>
      <c r="B76" s="127">
        <v>69.9048709273508</v>
      </c>
      <c r="C76" s="127">
        <v>71.143625987415604</v>
      </c>
      <c r="D76" s="127">
        <v>74.772343764264704</v>
      </c>
      <c r="E76" s="127">
        <v>79.718663641458704</v>
      </c>
      <c r="F76" s="127">
        <v>100.61059254145501</v>
      </c>
      <c r="G76" s="127">
        <v>132.68781361964901</v>
      </c>
      <c r="H76" s="127">
        <v>200.50822389925699</v>
      </c>
      <c r="I76" s="127">
        <v>409.917025855899</v>
      </c>
      <c r="K76" s="66">
        <v>6.1</v>
      </c>
      <c r="L76" s="66">
        <v>94.060594598615396</v>
      </c>
      <c r="M76" s="66">
        <v>98.396237308842302</v>
      </c>
      <c r="N76" s="66">
        <v>103.21368305813</v>
      </c>
      <c r="O76" s="66">
        <v>110.63316287392099</v>
      </c>
      <c r="P76" s="66">
        <v>132.68781361964901</v>
      </c>
      <c r="Q76" s="66">
        <v>171.18047891348101</v>
      </c>
      <c r="R76" s="66">
        <v>259.16371387081102</v>
      </c>
      <c r="S76" s="66">
        <v>504.68973454292097</v>
      </c>
      <c r="T76" s="66">
        <v>528.77132445519806</v>
      </c>
      <c r="V76" s="126">
        <v>6.1</v>
      </c>
      <c r="W76" s="126">
        <v>149.1851948</v>
      </c>
      <c r="X76" s="126">
        <v>152.28208240000001</v>
      </c>
      <c r="Y76" s="126">
        <v>159.47807169999999</v>
      </c>
      <c r="Z76" s="126">
        <v>171.22558140000001</v>
      </c>
      <c r="AA76" s="126">
        <v>206.00717610000001</v>
      </c>
      <c r="AB76" s="126">
        <v>271.07811029999999</v>
      </c>
      <c r="AC76" s="126">
        <v>382.89013799999998</v>
      </c>
      <c r="AD76" s="126">
        <v>729.19229859999996</v>
      </c>
      <c r="AF76" s="112">
        <v>6.1</v>
      </c>
      <c r="AG76" s="112">
        <v>34.509606615072101</v>
      </c>
      <c r="AH76" s="112"/>
      <c r="AJ76" s="113">
        <v>6.1</v>
      </c>
      <c r="AK76" s="113">
        <v>79.814911407869602</v>
      </c>
      <c r="AN76" s="157">
        <v>6.1</v>
      </c>
      <c r="AO76" s="157">
        <v>2837.3785760000001</v>
      </c>
      <c r="AP76" s="157">
        <v>3490.771201</v>
      </c>
      <c r="AQ76" s="157">
        <v>4295.3044689999997</v>
      </c>
      <c r="AR76" s="157">
        <v>5661.770896</v>
      </c>
      <c r="AS76" s="157">
        <v>8374.4700589999993</v>
      </c>
      <c r="AT76" s="157">
        <v>12386.85079</v>
      </c>
      <c r="AV76" s="66">
        <v>6.1</v>
      </c>
      <c r="AW76" s="66">
        <v>1523.6176042588099</v>
      </c>
      <c r="AX76" s="66">
        <v>2056.0977150039898</v>
      </c>
      <c r="AY76" s="66">
        <v>2414.9598565978999</v>
      </c>
      <c r="AZ76" s="66">
        <v>3490.7712011602098</v>
      </c>
      <c r="BA76" s="66">
        <v>6352.4506670854698</v>
      </c>
      <c r="BB76" s="66">
        <v>10068.688801545</v>
      </c>
    </row>
    <row r="77" spans="1:54" ht="15" x14ac:dyDescent="0.25">
      <c r="A77" s="127">
        <v>6.2</v>
      </c>
      <c r="B77" s="127">
        <v>69.9048709273508</v>
      </c>
      <c r="C77" s="127">
        <v>71.143625987415604</v>
      </c>
      <c r="D77" s="127">
        <v>74.772343764264704</v>
      </c>
      <c r="E77" s="127">
        <v>79.718663641458704</v>
      </c>
      <c r="F77" s="127">
        <v>100.61059254145501</v>
      </c>
      <c r="G77" s="127">
        <v>132.68781361964901</v>
      </c>
      <c r="H77" s="127">
        <v>200.50822389925699</v>
      </c>
      <c r="I77" s="127">
        <v>409.917025855899</v>
      </c>
      <c r="K77" s="66">
        <v>6.2</v>
      </c>
      <c r="L77" s="66">
        <v>94.060594598615396</v>
      </c>
      <c r="M77" s="66">
        <v>98.396237308842302</v>
      </c>
      <c r="N77" s="66">
        <v>100.74052311953299</v>
      </c>
      <c r="O77" s="66">
        <v>110.63316287392099</v>
      </c>
      <c r="P77" s="66">
        <v>132.68781361964901</v>
      </c>
      <c r="Q77" s="66">
        <v>171.18047891348101</v>
      </c>
      <c r="R77" s="66">
        <v>252.74826965517201</v>
      </c>
      <c r="S77" s="66">
        <v>504.68973454292097</v>
      </c>
      <c r="T77" s="66">
        <v>528.77132445519806</v>
      </c>
      <c r="V77" s="126">
        <v>6.2</v>
      </c>
      <c r="W77" s="126">
        <v>149.1851948</v>
      </c>
      <c r="X77" s="126">
        <v>152.28208240000001</v>
      </c>
      <c r="Y77" s="126">
        <v>159.47807169999999</v>
      </c>
      <c r="Z77" s="126">
        <v>171.22558140000001</v>
      </c>
      <c r="AA77" s="126">
        <v>206.00717610000001</v>
      </c>
      <c r="AB77" s="126">
        <v>264.66266610000002</v>
      </c>
      <c r="AC77" s="126">
        <v>382.89013799999998</v>
      </c>
      <c r="AD77" s="126">
        <v>729.19229859999996</v>
      </c>
      <c r="AF77" s="112">
        <v>6.2</v>
      </c>
      <c r="AG77" s="112">
        <v>34.509606615072101</v>
      </c>
      <c r="AH77" s="112"/>
      <c r="AJ77" s="113">
        <v>6.2</v>
      </c>
      <c r="AK77" s="113">
        <v>79.814911407869602</v>
      </c>
      <c r="AN77" s="157">
        <v>6.2</v>
      </c>
      <c r="AO77" s="157">
        <v>2837.3785760000001</v>
      </c>
      <c r="AP77" s="157">
        <v>3490.771201</v>
      </c>
      <c r="AQ77" s="157">
        <v>4197.6443609999997</v>
      </c>
      <c r="AR77" s="157">
        <v>5661.770896</v>
      </c>
      <c r="AS77" s="157">
        <v>8374.4700589999993</v>
      </c>
      <c r="AT77" s="157">
        <v>12386.85079</v>
      </c>
      <c r="AV77" s="66">
        <v>6.2</v>
      </c>
      <c r="AW77" s="66">
        <v>1523.6176042588099</v>
      </c>
      <c r="AX77" s="66">
        <v>2008.8178216190499</v>
      </c>
      <c r="AY77" s="66">
        <v>2414.9598565978999</v>
      </c>
      <c r="AZ77" s="66">
        <v>3411.7130187788298</v>
      </c>
      <c r="BA77" s="66">
        <v>6352.4506670854698</v>
      </c>
      <c r="BB77" s="66">
        <v>10068.688801545</v>
      </c>
    </row>
    <row r="78" spans="1:54" ht="15" x14ac:dyDescent="0.25">
      <c r="A78" s="127">
        <v>6.3</v>
      </c>
      <c r="B78" s="127">
        <v>69.9048709273508</v>
      </c>
      <c r="C78" s="127">
        <v>71.143625987415604</v>
      </c>
      <c r="D78" s="127">
        <v>74.772343764264704</v>
      </c>
      <c r="E78" s="127">
        <v>79.718663641458704</v>
      </c>
      <c r="F78" s="127">
        <v>100.61059254145501</v>
      </c>
      <c r="G78" s="127">
        <v>132.68781361964901</v>
      </c>
      <c r="H78" s="127">
        <v>200.50822389925699</v>
      </c>
      <c r="I78" s="127">
        <v>409.917025855899</v>
      </c>
      <c r="K78" s="66">
        <v>6.3</v>
      </c>
      <c r="L78" s="66">
        <v>94.060594598615396</v>
      </c>
      <c r="M78" s="66">
        <v>98.396237308842302</v>
      </c>
      <c r="N78" s="66">
        <v>100.74052311953299</v>
      </c>
      <c r="O78" s="66">
        <v>110.63316287392099</v>
      </c>
      <c r="P78" s="66">
        <v>132.68781361964901</v>
      </c>
      <c r="Q78" s="66">
        <v>171.18047891348101</v>
      </c>
      <c r="R78" s="66">
        <v>252.74826965517201</v>
      </c>
      <c r="S78" s="66">
        <v>504.68973454292097</v>
      </c>
      <c r="T78" s="66">
        <v>528.77132445519806</v>
      </c>
      <c r="V78" s="126">
        <v>6.3</v>
      </c>
      <c r="W78" s="126">
        <v>145.4689296</v>
      </c>
      <c r="X78" s="126">
        <v>152.28208240000001</v>
      </c>
      <c r="Y78" s="126">
        <v>155.7683318</v>
      </c>
      <c r="Z78" s="126">
        <v>166.89755149999999</v>
      </c>
      <c r="AA78" s="126">
        <v>206.00717610000001</v>
      </c>
      <c r="AB78" s="126">
        <v>264.66266610000002</v>
      </c>
      <c r="AC78" s="126">
        <v>382.89013799999998</v>
      </c>
      <c r="AD78" s="126">
        <v>729.19229859999996</v>
      </c>
      <c r="AF78" s="112">
        <v>6.3</v>
      </c>
      <c r="AG78" s="112">
        <v>33.7240720647914</v>
      </c>
      <c r="AH78" s="112"/>
      <c r="AJ78" s="113">
        <v>6.3</v>
      </c>
      <c r="AK78" s="113">
        <v>79.814911407869602</v>
      </c>
      <c r="AN78" s="157">
        <v>6.3</v>
      </c>
      <c r="AO78" s="157">
        <v>2837.3785760000001</v>
      </c>
      <c r="AP78" s="157">
        <v>3411.7130189999998</v>
      </c>
      <c r="AQ78" s="157">
        <v>4197.6443609999997</v>
      </c>
      <c r="AR78" s="157">
        <v>5661.770896</v>
      </c>
      <c r="AS78" s="157">
        <v>8374.4700589999993</v>
      </c>
      <c r="AT78" s="157">
        <v>12386.85079</v>
      </c>
      <c r="AV78" s="66">
        <v>6.3</v>
      </c>
      <c r="AW78" s="66">
        <v>1523.6176042588099</v>
      </c>
      <c r="AX78" s="66">
        <v>2008.8178216190499</v>
      </c>
      <c r="AY78" s="66">
        <v>2414.9598565978999</v>
      </c>
      <c r="AZ78" s="66">
        <v>3411.7130187788298</v>
      </c>
      <c r="BA78" s="66">
        <v>6352.4506670854698</v>
      </c>
      <c r="BB78" s="66">
        <v>10068.688801545</v>
      </c>
    </row>
    <row r="79" spans="1:54" ht="15" x14ac:dyDescent="0.25">
      <c r="A79" s="127">
        <v>6.4</v>
      </c>
      <c r="B79" s="127">
        <v>69.9048709273508</v>
      </c>
      <c r="C79" s="127">
        <v>71.143625987415604</v>
      </c>
      <c r="D79" s="127">
        <v>74.772343764264704</v>
      </c>
      <c r="E79" s="127">
        <v>79.718663641458704</v>
      </c>
      <c r="F79" s="127">
        <v>100.61059254145501</v>
      </c>
      <c r="G79" s="127">
        <v>132.68781361964901</v>
      </c>
      <c r="H79" s="127">
        <v>200.50822389925699</v>
      </c>
      <c r="I79" s="127">
        <v>409.917025855899</v>
      </c>
      <c r="K79" s="66">
        <v>6.4</v>
      </c>
      <c r="L79" s="66">
        <v>94.060594598615396</v>
      </c>
      <c r="M79" s="66">
        <v>98.396237308842302</v>
      </c>
      <c r="N79" s="66">
        <v>100.74052311953299</v>
      </c>
      <c r="O79" s="66">
        <v>110.63316287392099</v>
      </c>
      <c r="P79" s="66">
        <v>132.68781361964901</v>
      </c>
      <c r="Q79" s="66">
        <v>171.18047891348101</v>
      </c>
      <c r="R79" s="66">
        <v>252.74826965517201</v>
      </c>
      <c r="S79" s="66">
        <v>504.68973454292097</v>
      </c>
      <c r="T79" s="66">
        <v>528.77132445519806</v>
      </c>
      <c r="V79" s="126">
        <v>6.4</v>
      </c>
      <c r="W79" s="126">
        <v>145.4689296</v>
      </c>
      <c r="X79" s="126">
        <v>149.1851948</v>
      </c>
      <c r="Y79" s="126">
        <v>155.7683318</v>
      </c>
      <c r="Z79" s="126">
        <v>166.89755149999999</v>
      </c>
      <c r="AA79" s="126">
        <v>206.00717610000001</v>
      </c>
      <c r="AB79" s="126">
        <v>264.66266610000002</v>
      </c>
      <c r="AC79" s="126">
        <v>373.72521769999997</v>
      </c>
      <c r="AD79" s="126">
        <v>712.87896350000005</v>
      </c>
      <c r="AF79" s="112">
        <v>6.4</v>
      </c>
      <c r="AG79" s="112">
        <v>33.7240720647914</v>
      </c>
      <c r="AH79" s="112"/>
      <c r="AJ79" s="113">
        <v>6.4</v>
      </c>
      <c r="AK79" s="113">
        <v>79.814911407869602</v>
      </c>
      <c r="AN79" s="157">
        <v>6.4</v>
      </c>
      <c r="AO79" s="157">
        <v>2773.046918</v>
      </c>
      <c r="AP79" s="157">
        <v>3411.7130189999998</v>
      </c>
      <c r="AQ79" s="157">
        <v>4197.6443609999997</v>
      </c>
      <c r="AR79" s="157">
        <v>5533.1075790000004</v>
      </c>
      <c r="AS79" s="157">
        <v>8374.4700589999993</v>
      </c>
      <c r="AT79" s="157">
        <v>12386.85079</v>
      </c>
      <c r="AV79" s="66">
        <v>6.4</v>
      </c>
      <c r="AW79" s="66">
        <v>1523.6176042588099</v>
      </c>
      <c r="AX79" s="66">
        <v>2008.8178216190499</v>
      </c>
      <c r="AY79" s="66">
        <v>2414.9598565978999</v>
      </c>
      <c r="AZ79" s="66">
        <v>3411.7130187788298</v>
      </c>
      <c r="BA79" s="66">
        <v>6352.4506670854698</v>
      </c>
      <c r="BB79" s="66">
        <v>10068.688801545</v>
      </c>
    </row>
    <row r="80" spans="1:54" ht="15" x14ac:dyDescent="0.25">
      <c r="A80" s="127">
        <v>6.5</v>
      </c>
      <c r="B80" s="127">
        <v>69.9048709273508</v>
      </c>
      <c r="C80" s="127">
        <v>71.143625987415604</v>
      </c>
      <c r="D80" s="127">
        <v>74.772343764264704</v>
      </c>
      <c r="E80" s="127">
        <v>79.718663641458704</v>
      </c>
      <c r="F80" s="127">
        <v>100.61059254145501</v>
      </c>
      <c r="G80" s="127">
        <v>132.68781361964901</v>
      </c>
      <c r="H80" s="127">
        <v>200.50822389925699</v>
      </c>
      <c r="I80" s="127">
        <v>409.917025855899</v>
      </c>
      <c r="K80" s="66">
        <v>6.5</v>
      </c>
      <c r="L80" s="66">
        <v>94.060594598615396</v>
      </c>
      <c r="M80" s="66">
        <v>98.396237308842302</v>
      </c>
      <c r="N80" s="66">
        <v>100.74052311953299</v>
      </c>
      <c r="O80" s="66">
        <v>110.63316287392099</v>
      </c>
      <c r="P80" s="66">
        <v>129.93833752723199</v>
      </c>
      <c r="Q80" s="66">
        <v>171.18047891348101</v>
      </c>
      <c r="R80" s="66">
        <v>252.74826965517201</v>
      </c>
      <c r="S80" s="66">
        <v>504.68973454292097</v>
      </c>
      <c r="T80" s="66">
        <v>528.77132445519806</v>
      </c>
      <c r="V80" s="126">
        <v>6.5</v>
      </c>
      <c r="W80" s="126">
        <v>145.4689296</v>
      </c>
      <c r="X80" s="126">
        <v>149.1851948</v>
      </c>
      <c r="Y80" s="126">
        <v>155.7683318</v>
      </c>
      <c r="Z80" s="126">
        <v>166.89755149999999</v>
      </c>
      <c r="AA80" s="126">
        <v>200.50822389999999</v>
      </c>
      <c r="AB80" s="126">
        <v>259.1637139</v>
      </c>
      <c r="AC80" s="126">
        <v>373.72521769999997</v>
      </c>
      <c r="AD80" s="126">
        <v>712.87896350000005</v>
      </c>
      <c r="AF80" s="112">
        <v>6.5</v>
      </c>
      <c r="AG80" s="112">
        <v>33.7240720647914</v>
      </c>
      <c r="AH80" s="112"/>
      <c r="AJ80" s="113">
        <v>6.5</v>
      </c>
      <c r="AK80" s="113">
        <v>79.814911407869602</v>
      </c>
      <c r="AN80" s="157">
        <v>6.5</v>
      </c>
      <c r="AO80" s="157">
        <v>2773.046918</v>
      </c>
      <c r="AP80" s="157">
        <v>3411.7130189999998</v>
      </c>
      <c r="AQ80" s="157">
        <v>4197.6443609999997</v>
      </c>
      <c r="AR80" s="157">
        <v>5533.1075790000004</v>
      </c>
      <c r="AS80" s="157">
        <v>8374.4700589999993</v>
      </c>
      <c r="AT80" s="157">
        <v>12386.85079</v>
      </c>
      <c r="AV80" s="66">
        <v>6.5</v>
      </c>
      <c r="AW80" s="66">
        <v>1489.5140746041</v>
      </c>
      <c r="AX80" s="66">
        <v>2008.8178216190499</v>
      </c>
      <c r="AY80" s="66">
        <v>2414.9598565978999</v>
      </c>
      <c r="AZ80" s="66">
        <v>3411.7130187788298</v>
      </c>
      <c r="BA80" s="66">
        <v>6208.3683994143203</v>
      </c>
      <c r="BB80" s="66">
        <v>10068.688801545</v>
      </c>
    </row>
    <row r="81" spans="1:54" ht="15" x14ac:dyDescent="0.25">
      <c r="A81" s="127">
        <v>6.6</v>
      </c>
      <c r="B81" s="127">
        <v>69.9048709273508</v>
      </c>
      <c r="C81" s="127">
        <v>71.143625987415604</v>
      </c>
      <c r="D81" s="127">
        <v>74.772343764264704</v>
      </c>
      <c r="E81" s="127">
        <v>79.718663641458704</v>
      </c>
      <c r="F81" s="127">
        <v>100.61059254145501</v>
      </c>
      <c r="G81" s="127">
        <v>132.68781361964901</v>
      </c>
      <c r="H81" s="127">
        <v>200.50822389925699</v>
      </c>
      <c r="I81" s="127">
        <v>409.917025855899</v>
      </c>
      <c r="K81" s="66">
        <v>6.6</v>
      </c>
      <c r="L81" s="66">
        <v>94.060594598615396</v>
      </c>
      <c r="M81" s="66">
        <v>98.396237308842302</v>
      </c>
      <c r="N81" s="66">
        <v>100.74052311953299</v>
      </c>
      <c r="O81" s="66">
        <v>108.160002935324</v>
      </c>
      <c r="P81" s="66">
        <v>129.93833752723199</v>
      </c>
      <c r="Q81" s="66">
        <v>171.18047891348101</v>
      </c>
      <c r="R81" s="66">
        <v>252.74826965517201</v>
      </c>
      <c r="S81" s="66">
        <v>504.68973454292097</v>
      </c>
      <c r="T81" s="66">
        <v>516.34211675853896</v>
      </c>
      <c r="V81" s="126">
        <v>6.6</v>
      </c>
      <c r="W81" s="126">
        <v>145.4689296</v>
      </c>
      <c r="X81" s="126">
        <v>149.1851948</v>
      </c>
      <c r="Y81" s="126">
        <v>155.7683318</v>
      </c>
      <c r="Z81" s="126">
        <v>163.1878116</v>
      </c>
      <c r="AA81" s="126">
        <v>200.50822389999999</v>
      </c>
      <c r="AB81" s="126">
        <v>259.1637139</v>
      </c>
      <c r="AC81" s="126">
        <v>373.72521769999997</v>
      </c>
      <c r="AD81" s="126">
        <v>712.87896350000005</v>
      </c>
      <c r="AF81" s="112">
        <v>6.6</v>
      </c>
      <c r="AG81" s="112">
        <v>33.7240720647914</v>
      </c>
      <c r="AH81" s="112"/>
      <c r="AJ81" s="113">
        <v>6.6</v>
      </c>
      <c r="AK81" s="113">
        <v>79.814911407869602</v>
      </c>
      <c r="AN81" s="157">
        <v>6.6</v>
      </c>
      <c r="AO81" s="157">
        <v>2773.046918</v>
      </c>
      <c r="AP81" s="157">
        <v>3411.7130189999998</v>
      </c>
      <c r="AQ81" s="157">
        <v>4101.5344139999997</v>
      </c>
      <c r="AR81" s="157">
        <v>5533.1075790000004</v>
      </c>
      <c r="AS81" s="157">
        <v>8374.4700589999993</v>
      </c>
      <c r="AT81" s="157">
        <v>12105.3117</v>
      </c>
      <c r="AV81" s="66">
        <v>6.6</v>
      </c>
      <c r="AW81" s="66">
        <v>1489.5140746041</v>
      </c>
      <c r="AX81" s="66">
        <v>2008.8178216190499</v>
      </c>
      <c r="AY81" s="66">
        <v>2359.9291610187101</v>
      </c>
      <c r="AZ81" s="66">
        <v>3411.7130187788298</v>
      </c>
      <c r="BA81" s="66">
        <v>6208.3683994143203</v>
      </c>
      <c r="BB81" s="66">
        <v>10068.688801545</v>
      </c>
    </row>
    <row r="82" spans="1:54" ht="15" x14ac:dyDescent="0.25">
      <c r="A82" s="127">
        <v>6.7</v>
      </c>
      <c r="B82" s="127">
        <v>69.9048709273508</v>
      </c>
      <c r="C82" s="127">
        <v>71.143625987415604</v>
      </c>
      <c r="D82" s="127">
        <v>74.772343764264704</v>
      </c>
      <c r="E82" s="127">
        <v>79.718663641458704</v>
      </c>
      <c r="F82" s="127">
        <v>100.61059254145501</v>
      </c>
      <c r="G82" s="127">
        <v>132.68781361964901</v>
      </c>
      <c r="H82" s="127">
        <v>200.50822389925699</v>
      </c>
      <c r="I82" s="127">
        <v>400.59512008340499</v>
      </c>
      <c r="K82" s="66">
        <v>6.7</v>
      </c>
      <c r="L82" s="66">
        <v>94.060594598615396</v>
      </c>
      <c r="M82" s="66">
        <v>95.918727188712595</v>
      </c>
      <c r="N82" s="66">
        <v>100.74052311953299</v>
      </c>
      <c r="O82" s="66">
        <v>108.160002935324</v>
      </c>
      <c r="P82" s="66">
        <v>129.93833752723199</v>
      </c>
      <c r="Q82" s="66">
        <v>171.18047891348101</v>
      </c>
      <c r="R82" s="66">
        <v>252.74826965517201</v>
      </c>
      <c r="S82" s="66">
        <v>504.68973454292097</v>
      </c>
      <c r="T82" s="66">
        <v>516.34211675853896</v>
      </c>
      <c r="V82" s="126">
        <v>6.7</v>
      </c>
      <c r="W82" s="126">
        <v>145.4689296</v>
      </c>
      <c r="X82" s="126">
        <v>149.1851948</v>
      </c>
      <c r="Y82" s="126">
        <v>152.67688179999999</v>
      </c>
      <c r="Z82" s="126">
        <v>163.1878116</v>
      </c>
      <c r="AA82" s="126">
        <v>200.50822389999999</v>
      </c>
      <c r="AB82" s="126">
        <v>259.1637139</v>
      </c>
      <c r="AC82" s="126">
        <v>373.72521769999997</v>
      </c>
      <c r="AD82" s="126">
        <v>712.87896350000005</v>
      </c>
      <c r="AF82" s="112">
        <v>6.7</v>
      </c>
      <c r="AG82" s="112">
        <v>33.7240720647914</v>
      </c>
      <c r="AH82" s="112"/>
      <c r="AJ82" s="113">
        <v>6.7</v>
      </c>
      <c r="AK82" s="113">
        <v>79.814911407869602</v>
      </c>
      <c r="AN82" s="157">
        <v>6.7</v>
      </c>
      <c r="AO82" s="157">
        <v>2710.2654200000002</v>
      </c>
      <c r="AP82" s="157">
        <v>3334.2049969999998</v>
      </c>
      <c r="AQ82" s="157">
        <v>4101.5344139999997</v>
      </c>
      <c r="AR82" s="157">
        <v>5533.1075790000004</v>
      </c>
      <c r="AS82" s="157">
        <v>8374.4700589999993</v>
      </c>
      <c r="AT82" s="157">
        <v>12105.3117</v>
      </c>
      <c r="AV82" s="66">
        <v>6.7</v>
      </c>
      <c r="AW82" s="66">
        <v>1489.5140746041</v>
      </c>
      <c r="AX82" s="66">
        <v>1963.0880886729501</v>
      </c>
      <c r="AY82" s="66">
        <v>2359.9291610187101</v>
      </c>
      <c r="AZ82" s="66">
        <v>3411.7130187788298</v>
      </c>
      <c r="BA82" s="66">
        <v>6208.3683994143203</v>
      </c>
      <c r="BB82" s="66">
        <v>10068.688801545</v>
      </c>
    </row>
    <row r="83" spans="1:54" ht="15" x14ac:dyDescent="0.25">
      <c r="A83" s="127">
        <v>6.8</v>
      </c>
      <c r="B83" s="127">
        <v>69.9048709273508</v>
      </c>
      <c r="C83" s="127">
        <v>71.143625987415604</v>
      </c>
      <c r="D83" s="127">
        <v>74.772343764264704</v>
      </c>
      <c r="E83" s="127">
        <v>79.718663641458704</v>
      </c>
      <c r="F83" s="127">
        <v>100.61059254145501</v>
      </c>
      <c r="G83" s="127">
        <v>132.68781361964901</v>
      </c>
      <c r="H83" s="127">
        <v>200.50822389925699</v>
      </c>
      <c r="I83" s="127">
        <v>400.59512008340499</v>
      </c>
      <c r="K83" s="66">
        <v>6.8</v>
      </c>
      <c r="L83" s="66">
        <v>94.060594598615396</v>
      </c>
      <c r="M83" s="66">
        <v>95.918727188712595</v>
      </c>
      <c r="N83" s="66">
        <v>100.74052311953299</v>
      </c>
      <c r="O83" s="66">
        <v>108.160002935324</v>
      </c>
      <c r="P83" s="66">
        <v>129.93833752723199</v>
      </c>
      <c r="Q83" s="66">
        <v>171.18047891348101</v>
      </c>
      <c r="R83" s="66">
        <v>252.74826965517201</v>
      </c>
      <c r="S83" s="66">
        <v>504.68973454292097</v>
      </c>
      <c r="T83" s="66">
        <v>516.34211675853896</v>
      </c>
      <c r="V83" s="126">
        <v>6.8</v>
      </c>
      <c r="W83" s="126">
        <v>142.3720419</v>
      </c>
      <c r="X83" s="126">
        <v>149.1851948</v>
      </c>
      <c r="Y83" s="126">
        <v>152.67688179999999</v>
      </c>
      <c r="Z83" s="126">
        <v>163.1878116</v>
      </c>
      <c r="AA83" s="126">
        <v>200.50822389999999</v>
      </c>
      <c r="AB83" s="126">
        <v>259.1637139</v>
      </c>
      <c r="AC83" s="126">
        <v>365.47678939999997</v>
      </c>
      <c r="AD83" s="126">
        <v>696.56562840000004</v>
      </c>
      <c r="AF83" s="112">
        <v>6.8</v>
      </c>
      <c r="AG83" s="112">
        <v>33.7240720647914</v>
      </c>
      <c r="AH83" s="112"/>
      <c r="AJ83" s="113">
        <v>6.8</v>
      </c>
      <c r="AK83" s="113">
        <v>79.814911407869602</v>
      </c>
      <c r="AN83" s="157">
        <v>6.8</v>
      </c>
      <c r="AO83" s="157">
        <v>2710.2654200000002</v>
      </c>
      <c r="AP83" s="157">
        <v>3334.2049969999998</v>
      </c>
      <c r="AQ83" s="157">
        <v>4101.5344139999997</v>
      </c>
      <c r="AR83" s="157">
        <v>5406.7695039999999</v>
      </c>
      <c r="AS83" s="157">
        <v>8374.4700589999993</v>
      </c>
      <c r="AT83" s="157">
        <v>12105.3117</v>
      </c>
      <c r="AV83" s="66">
        <v>6.8</v>
      </c>
      <c r="AW83" s="66">
        <v>1489.5140746041</v>
      </c>
      <c r="AX83" s="66">
        <v>1963.0880886729501</v>
      </c>
      <c r="AY83" s="66">
        <v>2359.9291610187101</v>
      </c>
      <c r="AZ83" s="66">
        <v>3411.7130187788298</v>
      </c>
      <c r="BA83" s="66">
        <v>6208.3683994143203</v>
      </c>
      <c r="BB83" s="66">
        <v>10068.688801545</v>
      </c>
    </row>
    <row r="84" spans="1:54" ht="15" x14ac:dyDescent="0.25">
      <c r="A84" s="127">
        <v>6.9</v>
      </c>
      <c r="B84" s="127">
        <v>69.9048709273508</v>
      </c>
      <c r="C84" s="127">
        <v>71.143625987415604</v>
      </c>
      <c r="D84" s="127">
        <v>74.772343764264704</v>
      </c>
      <c r="E84" s="127">
        <v>79.718663641458704</v>
      </c>
      <c r="F84" s="127">
        <v>98.777608479844403</v>
      </c>
      <c r="G84" s="127">
        <v>129.93833752723199</v>
      </c>
      <c r="H84" s="127">
        <v>200.50822389925699</v>
      </c>
      <c r="I84" s="127">
        <v>400.59512008340499</v>
      </c>
      <c r="K84" s="66">
        <v>6.9</v>
      </c>
      <c r="L84" s="66">
        <v>94.060594598615396</v>
      </c>
      <c r="M84" s="66">
        <v>95.918727188712595</v>
      </c>
      <c r="N84" s="66">
        <v>100.74052311953299</v>
      </c>
      <c r="O84" s="66">
        <v>108.160002935324</v>
      </c>
      <c r="P84" s="66">
        <v>129.93833752723199</v>
      </c>
      <c r="Q84" s="66">
        <v>171.18047891348101</v>
      </c>
      <c r="R84" s="66">
        <v>252.74826965517201</v>
      </c>
      <c r="S84" s="66">
        <v>504.68973454292097</v>
      </c>
      <c r="T84" s="66">
        <v>516.34211675853896</v>
      </c>
      <c r="V84" s="126">
        <v>6.9</v>
      </c>
      <c r="W84" s="126">
        <v>142.3720419</v>
      </c>
      <c r="X84" s="126">
        <v>145.4689296</v>
      </c>
      <c r="Y84" s="126">
        <v>152.67688179999999</v>
      </c>
      <c r="Z84" s="126">
        <v>163.1878116</v>
      </c>
      <c r="AA84" s="126">
        <v>195.9257637</v>
      </c>
      <c r="AB84" s="126">
        <v>252.74826970000001</v>
      </c>
      <c r="AC84" s="126">
        <v>365.47678939999997</v>
      </c>
      <c r="AD84" s="126">
        <v>696.56562840000004</v>
      </c>
      <c r="AF84" s="112">
        <v>6.9</v>
      </c>
      <c r="AG84" s="112">
        <v>33.7240720647914</v>
      </c>
      <c r="AH84" s="112"/>
      <c r="AJ84" s="113">
        <v>6.9</v>
      </c>
      <c r="AK84" s="113">
        <v>79.814911407869602</v>
      </c>
      <c r="AN84" s="157">
        <v>6.9</v>
      </c>
      <c r="AO84" s="157">
        <v>2710.2654200000002</v>
      </c>
      <c r="AP84" s="157">
        <v>3334.2049969999998</v>
      </c>
      <c r="AQ84" s="157">
        <v>4008.5247880000002</v>
      </c>
      <c r="AR84" s="157">
        <v>5406.7695039999999</v>
      </c>
      <c r="AS84" s="157">
        <v>8374.4700589999993</v>
      </c>
      <c r="AT84" s="157">
        <v>12105.3117</v>
      </c>
      <c r="AV84" s="66">
        <v>6.9</v>
      </c>
      <c r="AW84" s="66">
        <v>1489.5140746041</v>
      </c>
      <c r="AX84" s="66">
        <v>1963.0880886729501</v>
      </c>
      <c r="AY84" s="66">
        <v>2359.9291610187101</v>
      </c>
      <c r="AZ84" s="66">
        <v>3334.2049968362999</v>
      </c>
      <c r="BA84" s="66">
        <v>6208.3683994143203</v>
      </c>
      <c r="BB84" s="66">
        <v>10068.688801545</v>
      </c>
    </row>
    <row r="85" spans="1:54" ht="15" x14ac:dyDescent="0.25">
      <c r="A85" s="127">
        <v>7</v>
      </c>
      <c r="B85" s="127">
        <v>69.9048709273508</v>
      </c>
      <c r="C85" s="127">
        <v>69.9048709273508</v>
      </c>
      <c r="D85" s="127">
        <v>74.772343764264704</v>
      </c>
      <c r="E85" s="127">
        <v>79.718663641458704</v>
      </c>
      <c r="F85" s="127">
        <v>98.777608479844403</v>
      </c>
      <c r="G85" s="127">
        <v>129.93833752723199</v>
      </c>
      <c r="H85" s="127">
        <v>200.50822389925699</v>
      </c>
      <c r="I85" s="127">
        <v>400.59512008340499</v>
      </c>
      <c r="K85" s="66">
        <v>7</v>
      </c>
      <c r="L85" s="66">
        <v>94.060594598615396</v>
      </c>
      <c r="M85" s="66">
        <v>95.918727188712595</v>
      </c>
      <c r="N85" s="66">
        <v>100.74052311953299</v>
      </c>
      <c r="O85" s="66">
        <v>108.160002935324</v>
      </c>
      <c r="P85" s="66">
        <v>129.93833752723199</v>
      </c>
      <c r="Q85" s="66">
        <v>171.18047891348101</v>
      </c>
      <c r="R85" s="66">
        <v>252.74826965517201</v>
      </c>
      <c r="S85" s="66">
        <v>504.68973454292097</v>
      </c>
      <c r="T85" s="66">
        <v>516.34211675853896</v>
      </c>
      <c r="V85" s="126">
        <v>7</v>
      </c>
      <c r="W85" s="126">
        <v>142.3720419</v>
      </c>
      <c r="X85" s="126">
        <v>145.4689296</v>
      </c>
      <c r="Y85" s="126">
        <v>148.9671419</v>
      </c>
      <c r="Z85" s="126">
        <v>163.1878116</v>
      </c>
      <c r="AA85" s="126">
        <v>195.9257637</v>
      </c>
      <c r="AB85" s="126">
        <v>252.74826970000001</v>
      </c>
      <c r="AC85" s="126">
        <v>365.47678939999997</v>
      </c>
      <c r="AD85" s="126">
        <v>696.56562840000004</v>
      </c>
      <c r="AF85" s="112">
        <v>7</v>
      </c>
      <c r="AG85" s="112">
        <v>33.7240720647914</v>
      </c>
      <c r="AH85" s="112"/>
      <c r="AJ85" s="113">
        <v>7</v>
      </c>
      <c r="AK85" s="113">
        <v>79.814911407869602</v>
      </c>
      <c r="AN85" s="157">
        <v>7</v>
      </c>
      <c r="AO85" s="157">
        <v>2710.2654200000002</v>
      </c>
      <c r="AP85" s="157">
        <v>3334.2049969999998</v>
      </c>
      <c r="AQ85" s="157">
        <v>4008.5247880000002</v>
      </c>
      <c r="AR85" s="157">
        <v>5406.7695039999999</v>
      </c>
      <c r="AS85" s="157">
        <v>8374.4700589999993</v>
      </c>
      <c r="AT85" s="157">
        <v>12105.3117</v>
      </c>
      <c r="AV85" s="66">
        <v>7</v>
      </c>
      <c r="AW85" s="66">
        <v>1489.5140746041</v>
      </c>
      <c r="AX85" s="66">
        <v>1963.0880886729501</v>
      </c>
      <c r="AY85" s="66">
        <v>2359.9291610187101</v>
      </c>
      <c r="AZ85" s="66">
        <v>3334.2049968362999</v>
      </c>
      <c r="BA85" s="66">
        <v>6208.3683994143203</v>
      </c>
      <c r="BB85" s="66">
        <v>10068.688801545</v>
      </c>
    </row>
    <row r="86" spans="1:54" ht="15" x14ac:dyDescent="0.25">
      <c r="A86" s="127">
        <v>7.1</v>
      </c>
      <c r="B86" s="127">
        <v>69.9048709273508</v>
      </c>
      <c r="C86" s="127">
        <v>69.9048709273508</v>
      </c>
      <c r="D86" s="127">
        <v>74.772343764264704</v>
      </c>
      <c r="E86" s="127">
        <v>79.718663641458704</v>
      </c>
      <c r="F86" s="127">
        <v>98.777608479844403</v>
      </c>
      <c r="G86" s="127">
        <v>129.93833752723199</v>
      </c>
      <c r="H86" s="127">
        <v>195.92576374523</v>
      </c>
      <c r="I86" s="127">
        <v>400.59512008340499</v>
      </c>
      <c r="K86" s="66">
        <v>7.1</v>
      </c>
      <c r="L86" s="66">
        <v>94.060594598615396</v>
      </c>
      <c r="M86" s="66">
        <v>95.918727188712595</v>
      </c>
      <c r="N86" s="66">
        <v>100.74052311953299</v>
      </c>
      <c r="O86" s="66">
        <v>108.160002935324</v>
      </c>
      <c r="P86" s="66">
        <v>129.93833752723199</v>
      </c>
      <c r="Q86" s="66">
        <v>171.18047891348101</v>
      </c>
      <c r="R86" s="66">
        <v>252.74826965517201</v>
      </c>
      <c r="S86" s="66">
        <v>504.68973454292097</v>
      </c>
      <c r="T86" s="66">
        <v>516.34211675853896</v>
      </c>
      <c r="V86" s="126">
        <v>7.1</v>
      </c>
      <c r="W86" s="126">
        <v>139.2751543</v>
      </c>
      <c r="X86" s="126">
        <v>145.4689296</v>
      </c>
      <c r="Y86" s="126">
        <v>148.9671419</v>
      </c>
      <c r="Z86" s="126">
        <v>159.47807169999999</v>
      </c>
      <c r="AA86" s="126">
        <v>195.9257637</v>
      </c>
      <c r="AB86" s="126">
        <v>252.74826970000001</v>
      </c>
      <c r="AC86" s="126">
        <v>365.47678939999997</v>
      </c>
      <c r="AD86" s="126">
        <v>696.56562840000004</v>
      </c>
      <c r="AF86" s="112">
        <v>7.1</v>
      </c>
      <c r="AG86" s="112">
        <v>33.7240720647914</v>
      </c>
      <c r="AH86" s="112"/>
      <c r="AJ86" s="113">
        <v>7.1</v>
      </c>
      <c r="AK86" s="113">
        <v>79.814911407869602</v>
      </c>
      <c r="AN86" s="157">
        <v>7.1</v>
      </c>
      <c r="AO86" s="157">
        <v>2648.2590030000001</v>
      </c>
      <c r="AP86" s="157">
        <v>3258.2471350000001</v>
      </c>
      <c r="AQ86" s="157">
        <v>4008.5247880000002</v>
      </c>
      <c r="AR86" s="157">
        <v>5406.7695039999999</v>
      </c>
      <c r="AS86" s="157">
        <v>8374.4700589999993</v>
      </c>
      <c r="AT86" s="157">
        <v>12105.3117</v>
      </c>
      <c r="AV86" s="66">
        <v>7.1</v>
      </c>
      <c r="AW86" s="66">
        <v>1455.41054494939</v>
      </c>
      <c r="AX86" s="66">
        <v>1963.0880886729501</v>
      </c>
      <c r="AY86" s="66">
        <v>2359.9291610187101</v>
      </c>
      <c r="AZ86" s="66">
        <v>3334.2049968362999</v>
      </c>
      <c r="BA86" s="66">
        <v>6208.3683994143203</v>
      </c>
      <c r="BB86" s="66">
        <v>10068.688801545</v>
      </c>
    </row>
    <row r="87" spans="1:54" ht="15" x14ac:dyDescent="0.25">
      <c r="A87" s="127">
        <v>7.2</v>
      </c>
      <c r="B87" s="127">
        <v>68.046738337253501</v>
      </c>
      <c r="C87" s="127">
        <v>69.9048709273508</v>
      </c>
      <c r="D87" s="127">
        <v>74.772343764264704</v>
      </c>
      <c r="E87" s="127">
        <v>79.718663641458704</v>
      </c>
      <c r="F87" s="127">
        <v>98.777608479844403</v>
      </c>
      <c r="G87" s="127">
        <v>129.93833752723199</v>
      </c>
      <c r="H87" s="127">
        <v>195.92576374523</v>
      </c>
      <c r="I87" s="127">
        <v>400.59512008340499</v>
      </c>
      <c r="K87" s="66">
        <v>7.2</v>
      </c>
      <c r="L87" s="66">
        <v>94.060594598615396</v>
      </c>
      <c r="M87" s="66">
        <v>95.918727188712595</v>
      </c>
      <c r="N87" s="66">
        <v>100.74052311953299</v>
      </c>
      <c r="O87" s="66">
        <v>108.160002935324</v>
      </c>
      <c r="P87" s="66">
        <v>129.93833752723199</v>
      </c>
      <c r="Q87" s="66">
        <v>167.51451079025799</v>
      </c>
      <c r="R87" s="66">
        <v>252.74826965517201</v>
      </c>
      <c r="S87" s="66">
        <v>493.03735232730401</v>
      </c>
      <c r="T87" s="66">
        <v>516.34211675853896</v>
      </c>
      <c r="V87" s="126">
        <v>7.2</v>
      </c>
      <c r="W87" s="126">
        <v>139.2751543</v>
      </c>
      <c r="X87" s="126">
        <v>145.4689296</v>
      </c>
      <c r="Y87" s="126">
        <v>148.9671419</v>
      </c>
      <c r="Z87" s="126">
        <v>159.47807169999999</v>
      </c>
      <c r="AA87" s="126">
        <v>195.9257637</v>
      </c>
      <c r="AB87" s="126">
        <v>252.74826970000001</v>
      </c>
      <c r="AC87" s="126">
        <v>357.22836119999999</v>
      </c>
      <c r="AD87" s="126">
        <v>681.02911870000003</v>
      </c>
      <c r="AF87" s="112">
        <v>7.2</v>
      </c>
      <c r="AG87" s="112">
        <v>33.7240720647914</v>
      </c>
      <c r="AH87" s="112"/>
      <c r="AJ87" s="113">
        <v>7.2</v>
      </c>
      <c r="AK87" s="113">
        <v>79.814911407869602</v>
      </c>
      <c r="AN87" s="157">
        <v>7.2</v>
      </c>
      <c r="AO87" s="157">
        <v>2648.2590030000001</v>
      </c>
      <c r="AP87" s="157">
        <v>3258.2471350000001</v>
      </c>
      <c r="AQ87" s="157">
        <v>3917.0653219999999</v>
      </c>
      <c r="AR87" s="157">
        <v>5284.3068290000001</v>
      </c>
      <c r="AS87" s="157">
        <v>8374.4700589999993</v>
      </c>
      <c r="AT87" s="157">
        <v>12105.3117</v>
      </c>
      <c r="AV87" s="66">
        <v>7.2</v>
      </c>
      <c r="AW87" s="66">
        <v>1455.41054494939</v>
      </c>
      <c r="AX87" s="66">
        <v>1963.0880886729501</v>
      </c>
      <c r="AY87" s="66">
        <v>2359.9291610187101</v>
      </c>
      <c r="AZ87" s="66">
        <v>3334.2049968362999</v>
      </c>
      <c r="BA87" s="66">
        <v>6208.3683994143203</v>
      </c>
      <c r="BB87" s="66">
        <v>10068.688801545</v>
      </c>
    </row>
    <row r="88" spans="1:54" ht="15" x14ac:dyDescent="0.25">
      <c r="A88" s="127">
        <v>7.3</v>
      </c>
      <c r="B88" s="127">
        <v>68.046738337253501</v>
      </c>
      <c r="C88" s="127">
        <v>69.9048709273508</v>
      </c>
      <c r="D88" s="127">
        <v>74.772343764264704</v>
      </c>
      <c r="E88" s="127">
        <v>79.718663641458704</v>
      </c>
      <c r="F88" s="127">
        <v>98.777608479844403</v>
      </c>
      <c r="G88" s="127">
        <v>129.93833752723199</v>
      </c>
      <c r="H88" s="127">
        <v>195.92576374523</v>
      </c>
      <c r="I88" s="127">
        <v>400.59512008340499</v>
      </c>
      <c r="K88" s="66">
        <v>7.3</v>
      </c>
      <c r="L88" s="66">
        <v>91.583084478485702</v>
      </c>
      <c r="M88" s="66">
        <v>95.918727188712595</v>
      </c>
      <c r="N88" s="66">
        <v>100.74052311953299</v>
      </c>
      <c r="O88" s="66">
        <v>108.160002935324</v>
      </c>
      <c r="P88" s="66">
        <v>129.93833752723199</v>
      </c>
      <c r="Q88" s="66">
        <v>167.51451079025799</v>
      </c>
      <c r="R88" s="66">
        <v>252.74826965517201</v>
      </c>
      <c r="S88" s="66">
        <v>493.03735232730401</v>
      </c>
      <c r="T88" s="66">
        <v>516.34211675853896</v>
      </c>
      <c r="V88" s="126">
        <v>7.3</v>
      </c>
      <c r="W88" s="126">
        <v>139.2751543</v>
      </c>
      <c r="X88" s="126">
        <v>145.4689296</v>
      </c>
      <c r="Y88" s="126">
        <v>148.9671419</v>
      </c>
      <c r="Z88" s="126">
        <v>159.47807169999999</v>
      </c>
      <c r="AA88" s="126">
        <v>192.25979559999999</v>
      </c>
      <c r="AB88" s="126">
        <v>252.74826970000001</v>
      </c>
      <c r="AC88" s="126">
        <v>357.22836119999999</v>
      </c>
      <c r="AD88" s="126">
        <v>681.02911870000003</v>
      </c>
      <c r="AF88" s="112">
        <v>7.3</v>
      </c>
      <c r="AG88" s="112">
        <v>33.7240720647914</v>
      </c>
      <c r="AH88" s="112"/>
      <c r="AJ88" s="113">
        <v>7.3</v>
      </c>
      <c r="AK88" s="113">
        <v>79.814911407869602</v>
      </c>
      <c r="AN88" s="157">
        <v>7.3</v>
      </c>
      <c r="AO88" s="157">
        <v>2648.2590030000001</v>
      </c>
      <c r="AP88" s="157">
        <v>3258.2471350000001</v>
      </c>
      <c r="AQ88" s="157">
        <v>3917.0653219999999</v>
      </c>
      <c r="AR88" s="157">
        <v>5284.3068290000001</v>
      </c>
      <c r="AS88" s="157">
        <v>8374.4700589999993</v>
      </c>
      <c r="AT88" s="157">
        <v>12105.3117</v>
      </c>
      <c r="AV88" s="66">
        <v>7.3</v>
      </c>
      <c r="AW88" s="66">
        <v>1455.41054494939</v>
      </c>
      <c r="AX88" s="66">
        <v>1918.9085161657099</v>
      </c>
      <c r="AY88" s="66">
        <v>2359.9291610187101</v>
      </c>
      <c r="AZ88" s="66">
        <v>3334.2049968362999</v>
      </c>
      <c r="BA88" s="66">
        <v>6208.3683994143203</v>
      </c>
      <c r="BB88" s="66">
        <v>10068.688801545</v>
      </c>
    </row>
    <row r="89" spans="1:54" ht="15" x14ac:dyDescent="0.25">
      <c r="A89" s="127">
        <v>7.4</v>
      </c>
      <c r="B89" s="127">
        <v>68.046738337253501</v>
      </c>
      <c r="C89" s="127">
        <v>69.9048709273508</v>
      </c>
      <c r="D89" s="127">
        <v>74.772343764264704</v>
      </c>
      <c r="E89" s="127">
        <v>79.718663641458704</v>
      </c>
      <c r="F89" s="127">
        <v>98.777608479844403</v>
      </c>
      <c r="G89" s="127">
        <v>129.93833752723199</v>
      </c>
      <c r="H89" s="127">
        <v>195.92576374523</v>
      </c>
      <c r="I89" s="127">
        <v>400.59512008340499</v>
      </c>
      <c r="K89" s="66">
        <v>7.4</v>
      </c>
      <c r="L89" s="66">
        <v>91.583084478485702</v>
      </c>
      <c r="M89" s="66">
        <v>94.060594598615396</v>
      </c>
      <c r="N89" s="66">
        <v>100.74052311953299</v>
      </c>
      <c r="O89" s="66">
        <v>105.68684299672699</v>
      </c>
      <c r="P89" s="66">
        <v>129.93833752723199</v>
      </c>
      <c r="Q89" s="66">
        <v>167.51451079025799</v>
      </c>
      <c r="R89" s="66">
        <v>252.74826965517201</v>
      </c>
      <c r="S89" s="66">
        <v>493.03735232730401</v>
      </c>
      <c r="T89" s="66">
        <v>516.34211675853896</v>
      </c>
      <c r="V89" s="126">
        <v>7.4</v>
      </c>
      <c r="W89" s="126">
        <v>139.2751543</v>
      </c>
      <c r="X89" s="126">
        <v>142.3720419</v>
      </c>
      <c r="Y89" s="126">
        <v>148.9671419</v>
      </c>
      <c r="Z89" s="126">
        <v>159.47807169999999</v>
      </c>
      <c r="AA89" s="126">
        <v>192.25979559999999</v>
      </c>
      <c r="AB89" s="126">
        <v>247.24931749999999</v>
      </c>
      <c r="AC89" s="126">
        <v>357.22836119999999</v>
      </c>
      <c r="AD89" s="126">
        <v>681.02911870000003</v>
      </c>
      <c r="AF89" s="112">
        <v>7.4</v>
      </c>
      <c r="AG89" s="112">
        <v>33.7240720647914</v>
      </c>
      <c r="AH89" s="112"/>
      <c r="AJ89" s="113">
        <v>7.4</v>
      </c>
      <c r="AK89" s="113">
        <v>79.814911407869602</v>
      </c>
      <c r="AN89" s="157">
        <v>7.4</v>
      </c>
      <c r="AO89" s="157">
        <v>2648.2590030000001</v>
      </c>
      <c r="AP89" s="157">
        <v>3258.2471350000001</v>
      </c>
      <c r="AQ89" s="157">
        <v>3917.0653219999999</v>
      </c>
      <c r="AR89" s="157">
        <v>5284.3068290000001</v>
      </c>
      <c r="AS89" s="157">
        <v>8374.4700589999993</v>
      </c>
      <c r="AT89" s="157">
        <v>12105.3117</v>
      </c>
      <c r="AV89" s="66">
        <v>7.4</v>
      </c>
      <c r="AW89" s="66">
        <v>1455.41054494939</v>
      </c>
      <c r="AX89" s="66">
        <v>1918.9085161657099</v>
      </c>
      <c r="AY89" s="66">
        <v>2306.44862587836</v>
      </c>
      <c r="AZ89" s="66">
        <v>3334.2049968362999</v>
      </c>
      <c r="BA89" s="66">
        <v>6208.3683994143203</v>
      </c>
      <c r="BB89" s="66">
        <v>10068.688801545</v>
      </c>
    </row>
    <row r="90" spans="1:54" ht="15" x14ac:dyDescent="0.25">
      <c r="A90" s="127">
        <v>7.5</v>
      </c>
      <c r="B90" s="127">
        <v>68.046738337253501</v>
      </c>
      <c r="C90" s="127">
        <v>69.9048709273508</v>
      </c>
      <c r="D90" s="127">
        <v>74.772343764264704</v>
      </c>
      <c r="E90" s="127">
        <v>79.718663641458704</v>
      </c>
      <c r="F90" s="127">
        <v>98.777608479844403</v>
      </c>
      <c r="G90" s="127">
        <v>129.93833752723199</v>
      </c>
      <c r="H90" s="127">
        <v>195.92576374523</v>
      </c>
      <c r="I90" s="127">
        <v>400.59512008340499</v>
      </c>
      <c r="K90" s="66">
        <v>7.5</v>
      </c>
      <c r="L90" s="66">
        <v>91.583084478485702</v>
      </c>
      <c r="M90" s="66">
        <v>94.060594598615396</v>
      </c>
      <c r="N90" s="66">
        <v>100.74052311953299</v>
      </c>
      <c r="O90" s="66">
        <v>105.68684299672699</v>
      </c>
      <c r="P90" s="66">
        <v>129.93833752723199</v>
      </c>
      <c r="Q90" s="66">
        <v>167.51451079025799</v>
      </c>
      <c r="R90" s="66">
        <v>247.24931747033901</v>
      </c>
      <c r="S90" s="66">
        <v>493.03735232730401</v>
      </c>
      <c r="T90" s="66">
        <v>516.34211675853896</v>
      </c>
      <c r="V90" s="126">
        <v>7.5</v>
      </c>
      <c r="W90" s="126">
        <v>139.2751543</v>
      </c>
      <c r="X90" s="126">
        <v>142.3720419</v>
      </c>
      <c r="Y90" s="126">
        <v>145.25740200000001</v>
      </c>
      <c r="Z90" s="126">
        <v>155.7683318</v>
      </c>
      <c r="AA90" s="126">
        <v>192.25979559999999</v>
      </c>
      <c r="AB90" s="126">
        <v>247.24931749999999</v>
      </c>
      <c r="AC90" s="126">
        <v>357.22836119999999</v>
      </c>
      <c r="AD90" s="126">
        <v>681.02911870000003</v>
      </c>
      <c r="AF90" s="112">
        <v>7.5</v>
      </c>
      <c r="AG90" s="112">
        <v>33.7240720647914</v>
      </c>
      <c r="AH90" s="112"/>
      <c r="AJ90" s="113">
        <v>7.5</v>
      </c>
      <c r="AK90" s="113">
        <v>79.814911407869602</v>
      </c>
      <c r="AN90" s="157">
        <v>7.5</v>
      </c>
      <c r="AO90" s="157">
        <v>2648.2590030000001</v>
      </c>
      <c r="AP90" s="157">
        <v>3258.2471350000001</v>
      </c>
      <c r="AQ90" s="157">
        <v>3917.0653219999999</v>
      </c>
      <c r="AR90" s="157">
        <v>5284.3068290000001</v>
      </c>
      <c r="AS90" s="157">
        <v>8374.4700589999993</v>
      </c>
      <c r="AT90" s="157">
        <v>11829.81998</v>
      </c>
      <c r="AV90" s="66">
        <v>7.5</v>
      </c>
      <c r="AW90" s="66">
        <v>1455.41054494939</v>
      </c>
      <c r="AX90" s="66">
        <v>1918.9085161657099</v>
      </c>
      <c r="AY90" s="66">
        <v>2306.44862587836</v>
      </c>
      <c r="AZ90" s="66">
        <v>3334.2049968362999</v>
      </c>
      <c r="BA90" s="66">
        <v>6067.2067182500105</v>
      </c>
      <c r="BB90" s="66">
        <v>10068.688801545</v>
      </c>
    </row>
    <row r="91" spans="1:54" ht="15" x14ac:dyDescent="0.25">
      <c r="A91" s="127">
        <v>7.6</v>
      </c>
      <c r="B91" s="127">
        <v>68.046738337253501</v>
      </c>
      <c r="C91" s="127">
        <v>69.9048709273508</v>
      </c>
      <c r="D91" s="127">
        <v>74.772343764264704</v>
      </c>
      <c r="E91" s="127">
        <v>79.718663641458704</v>
      </c>
      <c r="F91" s="127">
        <v>98.777608479844403</v>
      </c>
      <c r="G91" s="127">
        <v>129.93833752723199</v>
      </c>
      <c r="H91" s="127">
        <v>195.92576374523</v>
      </c>
      <c r="I91" s="127">
        <v>400.59512008340499</v>
      </c>
      <c r="K91" s="66">
        <v>7.6</v>
      </c>
      <c r="L91" s="66">
        <v>91.583084478485702</v>
      </c>
      <c r="M91" s="66">
        <v>94.060594598615396</v>
      </c>
      <c r="N91" s="66">
        <v>98.267363180936201</v>
      </c>
      <c r="O91" s="66">
        <v>105.68684299672699</v>
      </c>
      <c r="P91" s="66">
        <v>129.93833752723199</v>
      </c>
      <c r="Q91" s="66">
        <v>167.51451079025799</v>
      </c>
      <c r="R91" s="66">
        <v>247.24931747033901</v>
      </c>
      <c r="S91" s="66">
        <v>493.03735232730401</v>
      </c>
      <c r="T91" s="66">
        <v>516.34211675853896</v>
      </c>
      <c r="V91" s="126">
        <v>7.6</v>
      </c>
      <c r="W91" s="126">
        <v>139.2751543</v>
      </c>
      <c r="X91" s="126">
        <v>142.3720419</v>
      </c>
      <c r="Y91" s="126">
        <v>145.25740200000001</v>
      </c>
      <c r="Z91" s="126">
        <v>155.7683318</v>
      </c>
      <c r="AA91" s="126">
        <v>192.25979559999999</v>
      </c>
      <c r="AB91" s="126">
        <v>247.24931749999999</v>
      </c>
      <c r="AC91" s="126">
        <v>348.97993289999999</v>
      </c>
      <c r="AD91" s="126">
        <v>681.02911870000003</v>
      </c>
      <c r="AF91" s="112">
        <v>7.6</v>
      </c>
      <c r="AG91" s="112">
        <v>33.7240720647914</v>
      </c>
      <c r="AH91" s="112"/>
      <c r="AJ91" s="113">
        <v>7.6</v>
      </c>
      <c r="AK91" s="113">
        <v>77.956778817772303</v>
      </c>
      <c r="AN91" s="157">
        <v>7.6</v>
      </c>
      <c r="AO91" s="157">
        <v>2587.8027459999998</v>
      </c>
      <c r="AP91" s="157">
        <v>3183.839434</v>
      </c>
      <c r="AQ91" s="157">
        <v>3917.0653219999999</v>
      </c>
      <c r="AR91" s="157">
        <v>5284.3068290000001</v>
      </c>
      <c r="AS91" s="157">
        <v>8374.4700589999993</v>
      </c>
      <c r="AT91" s="157">
        <v>11829.81998</v>
      </c>
      <c r="AV91" s="66">
        <v>7.6</v>
      </c>
      <c r="AW91" s="66">
        <v>1422.0820955141</v>
      </c>
      <c r="AX91" s="66">
        <v>1918.9085161657099</v>
      </c>
      <c r="AY91" s="66">
        <v>2306.44862587836</v>
      </c>
      <c r="AZ91" s="66">
        <v>3334.2049968362999</v>
      </c>
      <c r="BA91" s="66">
        <v>6067.2067182500105</v>
      </c>
      <c r="BB91" s="66">
        <v>10068.688801545</v>
      </c>
    </row>
    <row r="92" spans="1:54" ht="15" x14ac:dyDescent="0.25">
      <c r="A92" s="127">
        <v>7.7</v>
      </c>
      <c r="B92" s="127">
        <v>68.046738337253501</v>
      </c>
      <c r="C92" s="127">
        <v>69.9048709273508</v>
      </c>
      <c r="D92" s="127">
        <v>72.917473810316906</v>
      </c>
      <c r="E92" s="127">
        <v>79.718663641458704</v>
      </c>
      <c r="F92" s="127">
        <v>98.777608479844403</v>
      </c>
      <c r="G92" s="127">
        <v>129.93833752723199</v>
      </c>
      <c r="H92" s="127">
        <v>195.92576374523</v>
      </c>
      <c r="I92" s="127">
        <v>400.59512008340499</v>
      </c>
      <c r="K92" s="66">
        <v>7.7</v>
      </c>
      <c r="L92" s="66">
        <v>91.583084478485702</v>
      </c>
      <c r="M92" s="66">
        <v>94.060594598615396</v>
      </c>
      <c r="N92" s="66">
        <v>98.267363180936201</v>
      </c>
      <c r="O92" s="66">
        <v>105.68684299672699</v>
      </c>
      <c r="P92" s="66">
        <v>129.93833752723199</v>
      </c>
      <c r="Q92" s="66">
        <v>167.51451079025799</v>
      </c>
      <c r="R92" s="66">
        <v>247.24931747033901</v>
      </c>
      <c r="S92" s="66">
        <v>493.03735232730401</v>
      </c>
      <c r="T92" s="66">
        <v>516.34211675853896</v>
      </c>
      <c r="V92" s="126">
        <v>7.7</v>
      </c>
      <c r="W92" s="126">
        <v>135.55888909999999</v>
      </c>
      <c r="X92" s="126">
        <v>142.3720419</v>
      </c>
      <c r="Y92" s="126">
        <v>145.25740200000001</v>
      </c>
      <c r="Z92" s="126">
        <v>155.7683318</v>
      </c>
      <c r="AA92" s="126">
        <v>187.6773355</v>
      </c>
      <c r="AB92" s="126">
        <v>247.24931749999999</v>
      </c>
      <c r="AC92" s="126">
        <v>348.97993289999999</v>
      </c>
      <c r="AD92" s="126">
        <v>665.49260909999998</v>
      </c>
      <c r="AF92" s="112">
        <v>7.7</v>
      </c>
      <c r="AG92" s="112">
        <v>33.7240720647914</v>
      </c>
      <c r="AH92" s="112"/>
      <c r="AJ92" s="113">
        <v>7.7</v>
      </c>
      <c r="AK92" s="113">
        <v>77.956778817772303</v>
      </c>
      <c r="AN92" s="157">
        <v>7.7</v>
      </c>
      <c r="AO92" s="157">
        <v>2587.8027459999998</v>
      </c>
      <c r="AP92" s="157">
        <v>3183.839434</v>
      </c>
      <c r="AQ92" s="157">
        <v>3827.9310970000001</v>
      </c>
      <c r="AR92" s="157">
        <v>5164.1693949999999</v>
      </c>
      <c r="AS92" s="157">
        <v>8374.4700589999993</v>
      </c>
      <c r="AT92" s="157">
        <v>11829.81998</v>
      </c>
      <c r="AV92" s="66">
        <v>7.7</v>
      </c>
      <c r="AW92" s="66">
        <v>1422.0820955141</v>
      </c>
      <c r="AX92" s="66">
        <v>1918.9085161657099</v>
      </c>
      <c r="AY92" s="66">
        <v>2306.44862587836</v>
      </c>
      <c r="AZ92" s="66">
        <v>3334.2049968362999</v>
      </c>
      <c r="BA92" s="66">
        <v>6067.2067182500105</v>
      </c>
      <c r="BB92" s="66">
        <v>10068.688801545</v>
      </c>
    </row>
    <row r="93" spans="1:54" ht="15" x14ac:dyDescent="0.25">
      <c r="A93" s="127">
        <v>7.8</v>
      </c>
      <c r="B93" s="127">
        <v>68.046738337253501</v>
      </c>
      <c r="C93" s="127">
        <v>69.9048709273508</v>
      </c>
      <c r="D93" s="127">
        <v>72.917473810316906</v>
      </c>
      <c r="E93" s="127">
        <v>79.718663641458704</v>
      </c>
      <c r="F93" s="127">
        <v>98.777608479844403</v>
      </c>
      <c r="G93" s="127">
        <v>129.93833752723199</v>
      </c>
      <c r="H93" s="127">
        <v>195.92576374523</v>
      </c>
      <c r="I93" s="127">
        <v>400.59512008340499</v>
      </c>
      <c r="K93" s="66">
        <v>7.8</v>
      </c>
      <c r="L93" s="66">
        <v>91.583084478485702</v>
      </c>
      <c r="M93" s="66">
        <v>94.060594598615396</v>
      </c>
      <c r="N93" s="66">
        <v>98.267363180936201</v>
      </c>
      <c r="O93" s="66">
        <v>105.68684299672699</v>
      </c>
      <c r="P93" s="66">
        <v>127.188861434816</v>
      </c>
      <c r="Q93" s="66">
        <v>167.51451079025799</v>
      </c>
      <c r="R93" s="66">
        <v>247.24931747033901</v>
      </c>
      <c r="S93" s="66">
        <v>493.03735232730401</v>
      </c>
      <c r="T93" s="66">
        <v>516.34211675853896</v>
      </c>
      <c r="V93" s="126">
        <v>7.8</v>
      </c>
      <c r="W93" s="126">
        <v>135.55888909999999</v>
      </c>
      <c r="X93" s="126">
        <v>139.2751543</v>
      </c>
      <c r="Y93" s="126">
        <v>145.25740200000001</v>
      </c>
      <c r="Z93" s="126">
        <v>155.7683318</v>
      </c>
      <c r="AA93" s="126">
        <v>187.6773355</v>
      </c>
      <c r="AB93" s="126">
        <v>241.7503653</v>
      </c>
      <c r="AC93" s="126">
        <v>348.97993289999999</v>
      </c>
      <c r="AD93" s="126">
        <v>665.49260909999998</v>
      </c>
      <c r="AF93" s="112">
        <v>7.8</v>
      </c>
      <c r="AG93" s="112">
        <v>33.7240720647914</v>
      </c>
      <c r="AH93" s="112"/>
      <c r="AJ93" s="113">
        <v>7.8</v>
      </c>
      <c r="AK93" s="113">
        <v>77.956778817772303</v>
      </c>
      <c r="AN93" s="157">
        <v>7.8</v>
      </c>
      <c r="AO93" s="157">
        <v>2587.8027459999998</v>
      </c>
      <c r="AP93" s="157">
        <v>3183.839434</v>
      </c>
      <c r="AQ93" s="157">
        <v>3827.9310970000001</v>
      </c>
      <c r="AR93" s="157">
        <v>5164.1693949999999</v>
      </c>
      <c r="AS93" s="157">
        <v>8374.4700589999993</v>
      </c>
      <c r="AT93" s="157">
        <v>11829.81998</v>
      </c>
      <c r="AV93" s="66">
        <v>7.8</v>
      </c>
      <c r="AW93" s="66">
        <v>1422.0820955141</v>
      </c>
      <c r="AX93" s="66">
        <v>1918.9085161657099</v>
      </c>
      <c r="AY93" s="66">
        <v>2306.44862587836</v>
      </c>
      <c r="AZ93" s="66">
        <v>3258.24713533263</v>
      </c>
      <c r="BA93" s="66">
        <v>6067.2067182500105</v>
      </c>
      <c r="BB93" s="66">
        <v>10068.688801545</v>
      </c>
    </row>
    <row r="94" spans="1:54" ht="15" x14ac:dyDescent="0.25">
      <c r="A94" s="127">
        <v>7.9</v>
      </c>
      <c r="B94" s="127">
        <v>68.046738337253501</v>
      </c>
      <c r="C94" s="127">
        <v>69.9048709273508</v>
      </c>
      <c r="D94" s="127">
        <v>72.917473810316906</v>
      </c>
      <c r="E94" s="127">
        <v>79.718663641458704</v>
      </c>
      <c r="F94" s="127">
        <v>98.777608479844403</v>
      </c>
      <c r="G94" s="127">
        <v>129.93833752723199</v>
      </c>
      <c r="H94" s="127">
        <v>195.92576374523</v>
      </c>
      <c r="I94" s="127">
        <v>400.59512008340499</v>
      </c>
      <c r="K94" s="66">
        <v>7.9</v>
      </c>
      <c r="L94" s="66">
        <v>91.583084478485702</v>
      </c>
      <c r="M94" s="66">
        <v>94.060594598615396</v>
      </c>
      <c r="N94" s="66">
        <v>98.267363180936201</v>
      </c>
      <c r="O94" s="66">
        <v>105.68684299672699</v>
      </c>
      <c r="P94" s="66">
        <v>127.188861434816</v>
      </c>
      <c r="Q94" s="66">
        <v>167.51451079025799</v>
      </c>
      <c r="R94" s="66">
        <v>247.24931747033901</v>
      </c>
      <c r="S94" s="66">
        <v>493.03735232730401</v>
      </c>
      <c r="T94" s="66">
        <v>504.68973454292097</v>
      </c>
      <c r="V94" s="126">
        <v>7.9</v>
      </c>
      <c r="W94" s="126">
        <v>135.55888909999999</v>
      </c>
      <c r="X94" s="126">
        <v>139.2751543</v>
      </c>
      <c r="Y94" s="126">
        <v>145.25740200000001</v>
      </c>
      <c r="Z94" s="126">
        <v>155.7683318</v>
      </c>
      <c r="AA94" s="126">
        <v>187.6773355</v>
      </c>
      <c r="AB94" s="126">
        <v>241.7503653</v>
      </c>
      <c r="AC94" s="126">
        <v>348.97993289999999</v>
      </c>
      <c r="AD94" s="126">
        <v>665.49260909999998</v>
      </c>
      <c r="AF94" s="112">
        <v>7.9</v>
      </c>
      <c r="AG94" s="112">
        <v>33.7240720647914</v>
      </c>
      <c r="AH94" s="112"/>
      <c r="AJ94" s="113">
        <v>7.9</v>
      </c>
      <c r="AK94" s="113">
        <v>77.956778817772303</v>
      </c>
      <c r="AN94" s="157">
        <v>7.9</v>
      </c>
      <c r="AO94" s="157">
        <v>2587.8027459999998</v>
      </c>
      <c r="AP94" s="157">
        <v>3183.839434</v>
      </c>
      <c r="AQ94" s="157">
        <v>3827.9310970000001</v>
      </c>
      <c r="AR94" s="157">
        <v>5164.1693949999999</v>
      </c>
      <c r="AS94" s="157">
        <v>8374.4700589999993</v>
      </c>
      <c r="AT94" s="157">
        <v>11829.81998</v>
      </c>
      <c r="AV94" s="66">
        <v>7.9</v>
      </c>
      <c r="AW94" s="66">
        <v>1422.0820955141</v>
      </c>
      <c r="AX94" s="66">
        <v>1918.9085161657099</v>
      </c>
      <c r="AY94" s="66">
        <v>2306.44862587836</v>
      </c>
      <c r="AZ94" s="66">
        <v>3258.24713533263</v>
      </c>
      <c r="BA94" s="66">
        <v>6067.2067182500105</v>
      </c>
      <c r="BB94" s="66">
        <v>10068.688801545</v>
      </c>
    </row>
    <row r="95" spans="1:54" ht="15" x14ac:dyDescent="0.25">
      <c r="A95" s="127">
        <v>8</v>
      </c>
      <c r="B95" s="127">
        <v>68.046738337253501</v>
      </c>
      <c r="C95" s="127">
        <v>69.9048709273508</v>
      </c>
      <c r="D95" s="127">
        <v>72.917473810316906</v>
      </c>
      <c r="E95" s="127">
        <v>79.718663641458704</v>
      </c>
      <c r="F95" s="127">
        <v>98.777608479844403</v>
      </c>
      <c r="G95" s="127">
        <v>129.93833752723199</v>
      </c>
      <c r="H95" s="127">
        <v>195.92576374523</v>
      </c>
      <c r="I95" s="127">
        <v>392.05003979195197</v>
      </c>
      <c r="K95" s="66">
        <v>8</v>
      </c>
      <c r="L95" s="66">
        <v>91.583084478485702</v>
      </c>
      <c r="M95" s="66">
        <v>94.060594598615396</v>
      </c>
      <c r="N95" s="66">
        <v>98.267363180936201</v>
      </c>
      <c r="O95" s="66">
        <v>105.68684299672699</v>
      </c>
      <c r="P95" s="66">
        <v>127.188861434816</v>
      </c>
      <c r="Q95" s="66">
        <v>167.51451079025799</v>
      </c>
      <c r="R95" s="66">
        <v>247.24931747033901</v>
      </c>
      <c r="S95" s="66">
        <v>493.03735232730401</v>
      </c>
      <c r="T95" s="66">
        <v>504.68973454292097</v>
      </c>
      <c r="V95" s="126">
        <v>8</v>
      </c>
      <c r="W95" s="126">
        <v>135.55888909999999</v>
      </c>
      <c r="X95" s="126">
        <v>139.2751543</v>
      </c>
      <c r="Y95" s="126">
        <v>145.25740200000001</v>
      </c>
      <c r="Z95" s="126">
        <v>152.67688179999999</v>
      </c>
      <c r="AA95" s="126">
        <v>187.6773355</v>
      </c>
      <c r="AB95" s="126">
        <v>241.7503653</v>
      </c>
      <c r="AC95" s="126">
        <v>348.97993289999999</v>
      </c>
      <c r="AD95" s="126">
        <v>665.49260909999998</v>
      </c>
      <c r="AF95" s="112">
        <v>8</v>
      </c>
      <c r="AG95" s="112">
        <v>33.7240720647914</v>
      </c>
      <c r="AH95" s="112"/>
      <c r="AJ95" s="113">
        <v>8</v>
      </c>
      <c r="AK95" s="113">
        <v>77.956778817772303</v>
      </c>
      <c r="AN95" s="157">
        <v>8</v>
      </c>
      <c r="AO95" s="157">
        <v>2587.8027459999998</v>
      </c>
      <c r="AP95" s="157">
        <v>3183.839434</v>
      </c>
      <c r="AQ95" s="157">
        <v>3827.9310970000001</v>
      </c>
      <c r="AR95" s="157">
        <v>5164.1693949999999</v>
      </c>
      <c r="AS95" s="157">
        <v>8374.4700589999993</v>
      </c>
      <c r="AT95" s="157">
        <v>11829.81998</v>
      </c>
      <c r="AV95" s="66">
        <v>8</v>
      </c>
      <c r="AW95" s="66">
        <v>1422.0820955141</v>
      </c>
      <c r="AX95" s="66">
        <v>1874.7289436584699</v>
      </c>
      <c r="AY95" s="66">
        <v>2306.44862587836</v>
      </c>
      <c r="AZ95" s="66">
        <v>3258.24713533263</v>
      </c>
      <c r="BA95" s="66">
        <v>6067.2067182500105</v>
      </c>
      <c r="BB95" s="66">
        <v>10068.688801545</v>
      </c>
    </row>
    <row r="96" spans="1:54" ht="15" x14ac:dyDescent="0.25">
      <c r="A96" s="127">
        <v>8.1</v>
      </c>
      <c r="B96" s="127">
        <v>68.046738337253501</v>
      </c>
      <c r="C96" s="127">
        <v>69.9048709273508</v>
      </c>
      <c r="D96" s="127">
        <v>72.917473810316906</v>
      </c>
      <c r="E96" s="127">
        <v>77.863793687510906</v>
      </c>
      <c r="F96" s="127">
        <v>98.777608479844403</v>
      </c>
      <c r="G96" s="127">
        <v>129.93833752723199</v>
      </c>
      <c r="H96" s="127">
        <v>195.92576374523</v>
      </c>
      <c r="I96" s="127">
        <v>392.05003979195197</v>
      </c>
      <c r="K96" s="66">
        <v>8.1</v>
      </c>
      <c r="L96" s="66">
        <v>89.724951888388404</v>
      </c>
      <c r="M96" s="66">
        <v>94.060594598615396</v>
      </c>
      <c r="N96" s="66">
        <v>98.267363180936201</v>
      </c>
      <c r="O96" s="66">
        <v>105.68684299672699</v>
      </c>
      <c r="P96" s="66">
        <v>127.188861434816</v>
      </c>
      <c r="Q96" s="66">
        <v>167.51451079025799</v>
      </c>
      <c r="R96" s="66">
        <v>247.24931747033901</v>
      </c>
      <c r="S96" s="66">
        <v>493.03735232730401</v>
      </c>
      <c r="T96" s="66">
        <v>504.68973454292097</v>
      </c>
      <c r="V96" s="126">
        <v>8.1</v>
      </c>
      <c r="W96" s="126">
        <v>135.55888909999999</v>
      </c>
      <c r="X96" s="126">
        <v>139.2751543</v>
      </c>
      <c r="Y96" s="126">
        <v>145.25740200000001</v>
      </c>
      <c r="Z96" s="126">
        <v>152.67688179999999</v>
      </c>
      <c r="AA96" s="126">
        <v>183.09487530000001</v>
      </c>
      <c r="AB96" s="126">
        <v>241.7503653</v>
      </c>
      <c r="AC96" s="126">
        <v>340.73150459999999</v>
      </c>
      <c r="AD96" s="126">
        <v>665.49260909999998</v>
      </c>
      <c r="AF96" s="112">
        <v>8.1</v>
      </c>
      <c r="AG96" s="112">
        <v>33.7240720647914</v>
      </c>
      <c r="AH96" s="112"/>
      <c r="AJ96" s="113">
        <v>8.1</v>
      </c>
      <c r="AK96" s="113">
        <v>77.956778817772303</v>
      </c>
      <c r="AN96" s="157">
        <v>8.1</v>
      </c>
      <c r="AO96" s="157">
        <v>2528.8966489999998</v>
      </c>
      <c r="AP96" s="157">
        <v>3111.7569739999999</v>
      </c>
      <c r="AQ96" s="157">
        <v>3827.9310970000001</v>
      </c>
      <c r="AR96" s="157">
        <v>5046.3572020000001</v>
      </c>
      <c r="AS96" s="157">
        <v>8374.4700589999993</v>
      </c>
      <c r="AT96" s="157">
        <v>11829.81998</v>
      </c>
      <c r="AV96" s="66">
        <v>8.1</v>
      </c>
      <c r="AW96" s="66">
        <v>1422.0820955141</v>
      </c>
      <c r="AX96" s="66">
        <v>1874.7289436584699</v>
      </c>
      <c r="AY96" s="66">
        <v>2306.44862587836</v>
      </c>
      <c r="AZ96" s="66">
        <v>3258.24713533263</v>
      </c>
      <c r="BA96" s="66">
        <v>6067.2067182500105</v>
      </c>
      <c r="BB96" s="66">
        <v>10068.688801545</v>
      </c>
    </row>
    <row r="97" spans="1:54" ht="15" x14ac:dyDescent="0.25">
      <c r="A97" s="127">
        <v>8.1999999999999993</v>
      </c>
      <c r="B97" s="127">
        <v>68.046738337253501</v>
      </c>
      <c r="C97" s="127">
        <v>69.9048709273508</v>
      </c>
      <c r="D97" s="127">
        <v>72.917473810316906</v>
      </c>
      <c r="E97" s="127">
        <v>77.863793687510906</v>
      </c>
      <c r="F97" s="127">
        <v>98.777608479844403</v>
      </c>
      <c r="G97" s="127">
        <v>129.93833752723199</v>
      </c>
      <c r="H97" s="127">
        <v>195.92576374523</v>
      </c>
      <c r="I97" s="127">
        <v>392.05003979195197</v>
      </c>
      <c r="K97" s="66">
        <v>8.1999999999999993</v>
      </c>
      <c r="L97" s="66">
        <v>89.724951888388404</v>
      </c>
      <c r="M97" s="66">
        <v>94.060594598615396</v>
      </c>
      <c r="N97" s="66">
        <v>98.267363180936201</v>
      </c>
      <c r="O97" s="66">
        <v>105.68684299672699</v>
      </c>
      <c r="P97" s="66">
        <v>127.188861434816</v>
      </c>
      <c r="Q97" s="66">
        <v>167.51451079025799</v>
      </c>
      <c r="R97" s="66">
        <v>247.24931747033901</v>
      </c>
      <c r="S97" s="66">
        <v>493.03735232730401</v>
      </c>
      <c r="T97" s="66">
        <v>504.68973454292097</v>
      </c>
      <c r="V97" s="126">
        <v>8.1999999999999993</v>
      </c>
      <c r="W97" s="126">
        <v>135.55888909999999</v>
      </c>
      <c r="X97" s="126">
        <v>139.2751543</v>
      </c>
      <c r="Y97" s="126">
        <v>142.1659521</v>
      </c>
      <c r="Z97" s="126">
        <v>152.67688179999999</v>
      </c>
      <c r="AA97" s="126">
        <v>183.09487530000001</v>
      </c>
      <c r="AB97" s="126">
        <v>241.7503653</v>
      </c>
      <c r="AC97" s="126">
        <v>340.73150459999999</v>
      </c>
      <c r="AD97" s="126">
        <v>665.49260909999998</v>
      </c>
      <c r="AF97" s="112">
        <v>8.1999999999999993</v>
      </c>
      <c r="AG97" s="112">
        <v>33.7240720647914</v>
      </c>
      <c r="AH97" s="112"/>
      <c r="AJ97" s="113">
        <v>8.1999999999999993</v>
      </c>
      <c r="AK97" s="113">
        <v>77.956778817772303</v>
      </c>
      <c r="AN97" s="157">
        <v>8.1999999999999993</v>
      </c>
      <c r="AO97" s="157">
        <v>2528.8966489999998</v>
      </c>
      <c r="AP97" s="157">
        <v>3111.7569739999999</v>
      </c>
      <c r="AQ97" s="157">
        <v>3741.122112</v>
      </c>
      <c r="AR97" s="157">
        <v>5046.3572020000001</v>
      </c>
      <c r="AS97" s="157">
        <v>8374.4700589999993</v>
      </c>
      <c r="AT97" s="157">
        <v>11829.81998</v>
      </c>
      <c r="AV97" s="66">
        <v>8.1999999999999993</v>
      </c>
      <c r="AW97" s="66">
        <v>1422.0820955141</v>
      </c>
      <c r="AX97" s="66">
        <v>1874.7289436584699</v>
      </c>
      <c r="AY97" s="66">
        <v>2306.44862587836</v>
      </c>
      <c r="AZ97" s="66">
        <v>3258.24713533263</v>
      </c>
      <c r="BA97" s="66">
        <v>6067.2067182500105</v>
      </c>
      <c r="BB97" s="66">
        <v>9839.5603264604306</v>
      </c>
    </row>
    <row r="98" spans="1:54" ht="15" x14ac:dyDescent="0.25">
      <c r="A98" s="127">
        <v>8.3000000000000007</v>
      </c>
      <c r="B98" s="127">
        <v>68.046738337253501</v>
      </c>
      <c r="C98" s="127">
        <v>69.9048709273508</v>
      </c>
      <c r="D98" s="127">
        <v>72.917473810316906</v>
      </c>
      <c r="E98" s="127">
        <v>77.863793687510906</v>
      </c>
      <c r="F98" s="127">
        <v>98.777608479844403</v>
      </c>
      <c r="G98" s="127">
        <v>129.93833752723199</v>
      </c>
      <c r="H98" s="127">
        <v>195.92576374523</v>
      </c>
      <c r="I98" s="127">
        <v>392.05003979195197</v>
      </c>
      <c r="K98" s="66">
        <v>8.3000000000000007</v>
      </c>
      <c r="L98" s="66">
        <v>89.724951888388404</v>
      </c>
      <c r="M98" s="66">
        <v>94.060594598615396</v>
      </c>
      <c r="N98" s="66">
        <v>98.267363180936201</v>
      </c>
      <c r="O98" s="66">
        <v>105.68684299672699</v>
      </c>
      <c r="P98" s="66">
        <v>127.188861434816</v>
      </c>
      <c r="Q98" s="66">
        <v>162.932050636231</v>
      </c>
      <c r="R98" s="66">
        <v>247.24931747033901</v>
      </c>
      <c r="S98" s="66">
        <v>493.03735232730401</v>
      </c>
      <c r="T98" s="66">
        <v>504.68973454292097</v>
      </c>
      <c r="V98" s="126">
        <v>8.3000000000000007</v>
      </c>
      <c r="W98" s="126">
        <v>132.46200150000001</v>
      </c>
      <c r="X98" s="126">
        <v>139.2751543</v>
      </c>
      <c r="Y98" s="126">
        <v>142.1659521</v>
      </c>
      <c r="Z98" s="126">
        <v>152.67688179999999</v>
      </c>
      <c r="AA98" s="126">
        <v>183.09487530000001</v>
      </c>
      <c r="AB98" s="126">
        <v>236.25141310000001</v>
      </c>
      <c r="AC98" s="126">
        <v>340.73150459999999</v>
      </c>
      <c r="AD98" s="126">
        <v>665.49260909999998</v>
      </c>
      <c r="AF98" s="112">
        <v>8.3000000000000007</v>
      </c>
      <c r="AG98" s="112">
        <v>33.7240720647914</v>
      </c>
      <c r="AH98" s="112"/>
      <c r="AJ98" s="113">
        <v>8.3000000000000007</v>
      </c>
      <c r="AK98" s="113">
        <v>77.956778817772303</v>
      </c>
      <c r="AN98" s="157">
        <v>8.3000000000000007</v>
      </c>
      <c r="AO98" s="157">
        <v>2528.8966489999998</v>
      </c>
      <c r="AP98" s="157">
        <v>3111.7569739999999</v>
      </c>
      <c r="AQ98" s="157">
        <v>3741.122112</v>
      </c>
      <c r="AR98" s="157">
        <v>5046.3572020000001</v>
      </c>
      <c r="AS98" s="157">
        <v>8374.4700589999993</v>
      </c>
      <c r="AT98" s="157">
        <v>11829.81998</v>
      </c>
      <c r="AV98" s="66">
        <v>8.3000000000000007</v>
      </c>
      <c r="AW98" s="66">
        <v>1389.5287262982399</v>
      </c>
      <c r="AX98" s="66">
        <v>1874.7289436584699</v>
      </c>
      <c r="AY98" s="66">
        <v>2253.7431709574398</v>
      </c>
      <c r="AZ98" s="66">
        <v>3258.24713533263</v>
      </c>
      <c r="BA98" s="66">
        <v>6067.2067182500105</v>
      </c>
      <c r="BB98" s="66">
        <v>9839.5603264604306</v>
      </c>
    </row>
    <row r="99" spans="1:54" ht="15" x14ac:dyDescent="0.25">
      <c r="A99" s="127">
        <v>8.4</v>
      </c>
      <c r="B99" s="127">
        <v>66.807983277188697</v>
      </c>
      <c r="C99" s="127">
        <v>69.9048709273508</v>
      </c>
      <c r="D99" s="127">
        <v>72.917473810316906</v>
      </c>
      <c r="E99" s="127">
        <v>77.863793687510906</v>
      </c>
      <c r="F99" s="127">
        <v>96.028132387427902</v>
      </c>
      <c r="G99" s="127">
        <v>129.93833752723199</v>
      </c>
      <c r="H99" s="127">
        <v>195.92576374523</v>
      </c>
      <c r="I99" s="127">
        <v>392.05003979195197</v>
      </c>
      <c r="K99" s="66">
        <v>8.4</v>
      </c>
      <c r="L99" s="66">
        <v>89.724951888388404</v>
      </c>
      <c r="M99" s="66">
        <v>94.060594598615396</v>
      </c>
      <c r="N99" s="66">
        <v>96.412493226988502</v>
      </c>
      <c r="O99" s="66">
        <v>105.68684299672699</v>
      </c>
      <c r="P99" s="66">
        <v>127.188861434816</v>
      </c>
      <c r="Q99" s="66">
        <v>162.932050636231</v>
      </c>
      <c r="R99" s="66">
        <v>247.24931747033901</v>
      </c>
      <c r="S99" s="66">
        <v>493.03735232730401</v>
      </c>
      <c r="T99" s="66">
        <v>504.68973454292097</v>
      </c>
      <c r="V99" s="126">
        <v>8.4</v>
      </c>
      <c r="W99" s="126">
        <v>132.46200150000001</v>
      </c>
      <c r="X99" s="126">
        <v>135.55888909999999</v>
      </c>
      <c r="Y99" s="126">
        <v>142.1659521</v>
      </c>
      <c r="Z99" s="126">
        <v>148.9671419</v>
      </c>
      <c r="AA99" s="126">
        <v>183.09487530000001</v>
      </c>
      <c r="AB99" s="126">
        <v>236.25141310000001</v>
      </c>
      <c r="AC99" s="126">
        <v>340.73150459999999</v>
      </c>
      <c r="AD99" s="126">
        <v>649.95609950000005</v>
      </c>
      <c r="AF99" s="112">
        <v>8.4</v>
      </c>
      <c r="AG99" s="112">
        <v>33.7240720647914</v>
      </c>
      <c r="AH99" s="112"/>
      <c r="AJ99" s="113">
        <v>8.4</v>
      </c>
      <c r="AK99" s="113">
        <v>77.956778817772303</v>
      </c>
      <c r="AN99" s="157">
        <v>8.4</v>
      </c>
      <c r="AO99" s="157">
        <v>2528.8966489999998</v>
      </c>
      <c r="AP99" s="157">
        <v>3111.7569739999999</v>
      </c>
      <c r="AQ99" s="157">
        <v>3741.122112</v>
      </c>
      <c r="AR99" s="157">
        <v>5046.3572020000001</v>
      </c>
      <c r="AS99" s="157">
        <v>8374.4700589999993</v>
      </c>
      <c r="AT99" s="157">
        <v>11829.81998</v>
      </c>
      <c r="AV99" s="66">
        <v>8.4</v>
      </c>
      <c r="AW99" s="66">
        <v>1389.5287262982399</v>
      </c>
      <c r="AX99" s="66">
        <v>1874.7289436584699</v>
      </c>
      <c r="AY99" s="66">
        <v>2253.7431709574398</v>
      </c>
      <c r="AZ99" s="66">
        <v>3258.24713533263</v>
      </c>
      <c r="BA99" s="66">
        <v>6067.2067182500105</v>
      </c>
      <c r="BB99" s="66">
        <v>9839.5603264604306</v>
      </c>
    </row>
    <row r="100" spans="1:54" ht="15" x14ac:dyDescent="0.25">
      <c r="A100" s="127">
        <v>8.5</v>
      </c>
      <c r="B100" s="127">
        <v>66.807983277188697</v>
      </c>
      <c r="C100" s="127">
        <v>69.9048709273508</v>
      </c>
      <c r="D100" s="127">
        <v>72.917473810316906</v>
      </c>
      <c r="E100" s="127">
        <v>77.863793687510906</v>
      </c>
      <c r="F100" s="127">
        <v>96.028132387427902</v>
      </c>
      <c r="G100" s="127">
        <v>129.93833752723199</v>
      </c>
      <c r="H100" s="127">
        <v>195.92576374523</v>
      </c>
      <c r="I100" s="127">
        <v>392.05003979195197</v>
      </c>
      <c r="K100" s="66">
        <v>8.5</v>
      </c>
      <c r="L100" s="66">
        <v>89.724951888388404</v>
      </c>
      <c r="M100" s="66">
        <v>94.060594598615396</v>
      </c>
      <c r="N100" s="66">
        <v>96.412493226988502</v>
      </c>
      <c r="O100" s="66">
        <v>105.68684299672699</v>
      </c>
      <c r="P100" s="66">
        <v>127.188861434816</v>
      </c>
      <c r="Q100" s="66">
        <v>162.932050636231</v>
      </c>
      <c r="R100" s="66">
        <v>247.24931747033901</v>
      </c>
      <c r="S100" s="66">
        <v>493.03735232730401</v>
      </c>
      <c r="T100" s="66">
        <v>504.68973454292097</v>
      </c>
      <c r="V100" s="126">
        <v>8.5</v>
      </c>
      <c r="W100" s="126">
        <v>132.46200150000001</v>
      </c>
      <c r="X100" s="126">
        <v>135.55888909999999</v>
      </c>
      <c r="Y100" s="126">
        <v>142.1659521</v>
      </c>
      <c r="Z100" s="126">
        <v>148.9671419</v>
      </c>
      <c r="AA100" s="126">
        <v>183.09487530000001</v>
      </c>
      <c r="AB100" s="126">
        <v>236.25141310000001</v>
      </c>
      <c r="AC100" s="126">
        <v>340.73150459999999</v>
      </c>
      <c r="AD100" s="126">
        <v>649.95609950000005</v>
      </c>
      <c r="AF100" s="112">
        <v>8.5</v>
      </c>
      <c r="AG100" s="112">
        <v>33.7240720647914</v>
      </c>
      <c r="AH100" s="112"/>
      <c r="AJ100" s="113">
        <v>8.5</v>
      </c>
      <c r="AK100" s="113">
        <v>77.956778817772303</v>
      </c>
      <c r="AN100" s="157">
        <v>8.5</v>
      </c>
      <c r="AO100" s="157">
        <v>2528.8966489999998</v>
      </c>
      <c r="AP100" s="157">
        <v>3111.7569739999999</v>
      </c>
      <c r="AQ100" s="157">
        <v>3741.122112</v>
      </c>
      <c r="AR100" s="157">
        <v>5046.3572020000001</v>
      </c>
      <c r="AS100" s="157">
        <v>8374.4700589999993</v>
      </c>
      <c r="AT100" s="157">
        <v>11829.81998</v>
      </c>
      <c r="AV100" s="66">
        <v>8.5</v>
      </c>
      <c r="AW100" s="66">
        <v>1389.5287262982399</v>
      </c>
      <c r="AX100" s="66">
        <v>1874.7289436584699</v>
      </c>
      <c r="AY100" s="66">
        <v>2253.7431709574398</v>
      </c>
      <c r="AZ100" s="66">
        <v>3258.24713533263</v>
      </c>
      <c r="BA100" s="66">
        <v>6067.2067182500105</v>
      </c>
      <c r="BB100" s="66">
        <v>9839.5603264604306</v>
      </c>
    </row>
    <row r="101" spans="1:54" ht="15" x14ac:dyDescent="0.25">
      <c r="A101" s="127">
        <v>8.6</v>
      </c>
      <c r="B101" s="127">
        <v>66.807983277188697</v>
      </c>
      <c r="C101" s="127">
        <v>69.9048709273508</v>
      </c>
      <c r="D101" s="127">
        <v>72.917473810316906</v>
      </c>
      <c r="E101" s="127">
        <v>77.863793687510906</v>
      </c>
      <c r="F101" s="127">
        <v>96.028132387427902</v>
      </c>
      <c r="G101" s="127">
        <v>129.93833752723199</v>
      </c>
      <c r="H101" s="127">
        <v>195.92576374523</v>
      </c>
      <c r="I101" s="127">
        <v>392.05003979195197</v>
      </c>
      <c r="K101" s="66">
        <v>8.6</v>
      </c>
      <c r="L101" s="66">
        <v>89.724951888388404</v>
      </c>
      <c r="M101" s="66">
        <v>94.060594598615396</v>
      </c>
      <c r="N101" s="66">
        <v>96.412493226988502</v>
      </c>
      <c r="O101" s="66">
        <v>105.68684299672699</v>
      </c>
      <c r="P101" s="66">
        <v>127.188861434816</v>
      </c>
      <c r="Q101" s="66">
        <v>162.932050636231</v>
      </c>
      <c r="R101" s="66">
        <v>247.24931747033901</v>
      </c>
      <c r="S101" s="66">
        <v>482.161795592727</v>
      </c>
      <c r="T101" s="66">
        <v>504.68973454292097</v>
      </c>
      <c r="V101" s="126">
        <v>8.6</v>
      </c>
      <c r="W101" s="126">
        <v>132.46200150000001</v>
      </c>
      <c r="X101" s="126">
        <v>135.55888909999999</v>
      </c>
      <c r="Y101" s="126">
        <v>139.07450220000001</v>
      </c>
      <c r="Z101" s="126">
        <v>148.9671419</v>
      </c>
      <c r="AA101" s="126">
        <v>179.4289072</v>
      </c>
      <c r="AB101" s="126">
        <v>236.25141310000001</v>
      </c>
      <c r="AC101" s="126">
        <v>340.73150459999999</v>
      </c>
      <c r="AD101" s="126">
        <v>649.95609950000005</v>
      </c>
      <c r="AF101" s="112">
        <v>8.6</v>
      </c>
      <c r="AG101" s="112">
        <v>33.7240720647914</v>
      </c>
      <c r="AH101" s="112"/>
      <c r="AJ101" s="113">
        <v>8.6</v>
      </c>
      <c r="AK101" s="113">
        <v>77.956778817772303</v>
      </c>
      <c r="AN101" s="157">
        <v>8.6</v>
      </c>
      <c r="AO101" s="157">
        <v>2528.8966489999998</v>
      </c>
      <c r="AP101" s="157">
        <v>3040.4495940000002</v>
      </c>
      <c r="AQ101" s="157">
        <v>3741.122112</v>
      </c>
      <c r="AR101" s="157">
        <v>4931.6453289999999</v>
      </c>
      <c r="AS101" s="157">
        <v>8374.4700589999993</v>
      </c>
      <c r="AT101" s="157">
        <v>11560.37565</v>
      </c>
      <c r="AV101" s="66">
        <v>8.6</v>
      </c>
      <c r="AW101" s="66">
        <v>1389.5287262982399</v>
      </c>
      <c r="AX101" s="66">
        <v>1874.7289436584699</v>
      </c>
      <c r="AY101" s="66">
        <v>2253.7431709574398</v>
      </c>
      <c r="AZ101" s="66">
        <v>3258.24713533263</v>
      </c>
      <c r="BA101" s="66">
        <v>6067.2067182500105</v>
      </c>
      <c r="BB101" s="66">
        <v>9839.5603264604306</v>
      </c>
    </row>
    <row r="102" spans="1:54" ht="15" x14ac:dyDescent="0.25">
      <c r="A102" s="127">
        <v>8.6999999999999993</v>
      </c>
      <c r="B102" s="127">
        <v>66.807983277188697</v>
      </c>
      <c r="C102" s="127">
        <v>69.9048709273508</v>
      </c>
      <c r="D102" s="127">
        <v>72.917473810316906</v>
      </c>
      <c r="E102" s="127">
        <v>77.863793687510906</v>
      </c>
      <c r="F102" s="127">
        <v>96.028132387427902</v>
      </c>
      <c r="G102" s="127">
        <v>129.93833752723199</v>
      </c>
      <c r="H102" s="127">
        <v>195.92576374523</v>
      </c>
      <c r="I102" s="127">
        <v>392.05003979195197</v>
      </c>
      <c r="K102" s="66">
        <v>8.6999999999999993</v>
      </c>
      <c r="L102" s="66">
        <v>89.724951888388404</v>
      </c>
      <c r="M102" s="66">
        <v>94.060594598615396</v>
      </c>
      <c r="N102" s="66">
        <v>96.412493226988502</v>
      </c>
      <c r="O102" s="66">
        <v>103.21368305813</v>
      </c>
      <c r="P102" s="66">
        <v>127.188861434816</v>
      </c>
      <c r="Q102" s="66">
        <v>162.932050636231</v>
      </c>
      <c r="R102" s="66">
        <v>247.24931747033901</v>
      </c>
      <c r="S102" s="66">
        <v>482.161795592727</v>
      </c>
      <c r="T102" s="66">
        <v>504.68973454292097</v>
      </c>
      <c r="V102" s="126">
        <v>8.6999999999999993</v>
      </c>
      <c r="W102" s="126">
        <v>129.9844913</v>
      </c>
      <c r="X102" s="126">
        <v>135.55888909999999</v>
      </c>
      <c r="Y102" s="126">
        <v>139.07450220000001</v>
      </c>
      <c r="Z102" s="126">
        <v>148.9671419</v>
      </c>
      <c r="AA102" s="126">
        <v>179.4289072</v>
      </c>
      <c r="AB102" s="126">
        <v>236.25141310000001</v>
      </c>
      <c r="AC102" s="126">
        <v>340.73150459999999</v>
      </c>
      <c r="AD102" s="126">
        <v>649.95609950000005</v>
      </c>
      <c r="AF102" s="112">
        <v>8.6999999999999993</v>
      </c>
      <c r="AG102" s="112">
        <v>33.7240720647914</v>
      </c>
      <c r="AH102" s="112"/>
      <c r="AJ102" s="113">
        <v>8.6999999999999993</v>
      </c>
      <c r="AK102" s="113">
        <v>76.098646227675005</v>
      </c>
      <c r="AN102" s="157">
        <v>8.6999999999999993</v>
      </c>
      <c r="AO102" s="157">
        <v>2471.5407129999999</v>
      </c>
      <c r="AP102" s="157">
        <v>3040.4495940000002</v>
      </c>
      <c r="AQ102" s="157">
        <v>3741.122112</v>
      </c>
      <c r="AR102" s="157">
        <v>4931.6453289999999</v>
      </c>
      <c r="AS102" s="157">
        <v>8374.4700589999993</v>
      </c>
      <c r="AT102" s="157">
        <v>11560.37565</v>
      </c>
      <c r="AV102" s="66">
        <v>8.6999999999999993</v>
      </c>
      <c r="AW102" s="66">
        <v>1389.5287262982399</v>
      </c>
      <c r="AX102" s="66">
        <v>1832.09953159008</v>
      </c>
      <c r="AY102" s="66">
        <v>2253.7431709574398</v>
      </c>
      <c r="AZ102" s="66">
        <v>3258.24713533263</v>
      </c>
      <c r="BA102" s="66">
        <v>5928.9656235925604</v>
      </c>
      <c r="BB102" s="66">
        <v>9839.5603264604306</v>
      </c>
    </row>
    <row r="103" spans="1:54" ht="15" x14ac:dyDescent="0.25">
      <c r="A103" s="127">
        <v>8.8000000000000007</v>
      </c>
      <c r="B103" s="127">
        <v>66.807983277188697</v>
      </c>
      <c r="C103" s="127">
        <v>69.9048709273508</v>
      </c>
      <c r="D103" s="127">
        <v>72.917473810316906</v>
      </c>
      <c r="E103" s="127">
        <v>77.863793687510906</v>
      </c>
      <c r="F103" s="127">
        <v>96.028132387427902</v>
      </c>
      <c r="G103" s="127">
        <v>129.93833752723199</v>
      </c>
      <c r="H103" s="127">
        <v>195.92576374523</v>
      </c>
      <c r="I103" s="127">
        <v>392.05003979195197</v>
      </c>
      <c r="K103" s="66">
        <v>8.8000000000000007</v>
      </c>
      <c r="L103" s="66">
        <v>89.724951888388404</v>
      </c>
      <c r="M103" s="66">
        <v>94.060594598615396</v>
      </c>
      <c r="N103" s="66">
        <v>96.412493226988502</v>
      </c>
      <c r="O103" s="66">
        <v>103.21368305813</v>
      </c>
      <c r="P103" s="66">
        <v>123.52289331159299</v>
      </c>
      <c r="Q103" s="66">
        <v>162.932050636231</v>
      </c>
      <c r="R103" s="66">
        <v>247.24931747033901</v>
      </c>
      <c r="S103" s="66">
        <v>482.161795592727</v>
      </c>
      <c r="T103" s="66">
        <v>504.68973454292097</v>
      </c>
      <c r="V103" s="126">
        <v>8.8000000000000007</v>
      </c>
      <c r="W103" s="126">
        <v>129.9844913</v>
      </c>
      <c r="X103" s="126">
        <v>135.55888909999999</v>
      </c>
      <c r="Y103" s="126">
        <v>139.07450220000001</v>
      </c>
      <c r="Z103" s="126">
        <v>148.9671419</v>
      </c>
      <c r="AA103" s="126">
        <v>179.4289072</v>
      </c>
      <c r="AB103" s="126">
        <v>230.75246089999999</v>
      </c>
      <c r="AC103" s="126">
        <v>333.39956840000002</v>
      </c>
      <c r="AD103" s="126">
        <v>649.95609950000005</v>
      </c>
      <c r="AF103" s="112">
        <v>8.8000000000000007</v>
      </c>
      <c r="AG103" s="112">
        <v>32.956418463910197</v>
      </c>
      <c r="AH103" s="112"/>
      <c r="AJ103" s="113">
        <v>8.8000000000000007</v>
      </c>
      <c r="AK103" s="113">
        <v>76.098646227675005</v>
      </c>
      <c r="AN103" s="157">
        <v>8.8000000000000007</v>
      </c>
      <c r="AO103" s="157">
        <v>2471.5407129999999</v>
      </c>
      <c r="AP103" s="157">
        <v>3040.4495940000002</v>
      </c>
      <c r="AQ103" s="157">
        <v>3655.863288</v>
      </c>
      <c r="AR103" s="157">
        <v>4931.6453289999999</v>
      </c>
      <c r="AS103" s="157">
        <v>8374.4700589999993</v>
      </c>
      <c r="AT103" s="157">
        <v>11560.37565</v>
      </c>
      <c r="AV103" s="66">
        <v>8.8000000000000007</v>
      </c>
      <c r="AW103" s="66">
        <v>1389.5287262982399</v>
      </c>
      <c r="AX103" s="66">
        <v>1832.09953159008</v>
      </c>
      <c r="AY103" s="66">
        <v>2253.7431709574398</v>
      </c>
      <c r="AZ103" s="66">
        <v>3183.8394342677998</v>
      </c>
      <c r="BA103" s="66">
        <v>5928.9656235925604</v>
      </c>
      <c r="BB103" s="66">
        <v>9839.5603264604306</v>
      </c>
    </row>
    <row r="104" spans="1:54" ht="15" x14ac:dyDescent="0.25">
      <c r="A104" s="127">
        <v>8.9</v>
      </c>
      <c r="B104" s="127">
        <v>66.807983277188697</v>
      </c>
      <c r="C104" s="127">
        <v>69.9048709273508</v>
      </c>
      <c r="D104" s="127">
        <v>72.917473810316906</v>
      </c>
      <c r="E104" s="127">
        <v>77.863793687510906</v>
      </c>
      <c r="F104" s="127">
        <v>96.028132387427902</v>
      </c>
      <c r="G104" s="127">
        <v>129.93833752723199</v>
      </c>
      <c r="H104" s="127">
        <v>195.92576374523</v>
      </c>
      <c r="I104" s="127">
        <v>392.05003979195197</v>
      </c>
      <c r="K104" s="66">
        <v>8.9</v>
      </c>
      <c r="L104" s="66">
        <v>89.724951888388404</v>
      </c>
      <c r="M104" s="66">
        <v>94.060594598615396</v>
      </c>
      <c r="N104" s="66">
        <v>96.412493226988502</v>
      </c>
      <c r="O104" s="66">
        <v>103.21368305813</v>
      </c>
      <c r="P104" s="66">
        <v>123.52289331159299</v>
      </c>
      <c r="Q104" s="66">
        <v>162.932050636231</v>
      </c>
      <c r="R104" s="66">
        <v>247.24931747033901</v>
      </c>
      <c r="S104" s="66">
        <v>482.161795592727</v>
      </c>
      <c r="T104" s="66">
        <v>504.68973454292097</v>
      </c>
      <c r="V104" s="126">
        <v>8.9</v>
      </c>
      <c r="W104" s="126">
        <v>129.9844913</v>
      </c>
      <c r="X104" s="126">
        <v>135.55888909999999</v>
      </c>
      <c r="Y104" s="126">
        <v>139.07450220000001</v>
      </c>
      <c r="Z104" s="126">
        <v>148.9671419</v>
      </c>
      <c r="AA104" s="126">
        <v>179.4289072</v>
      </c>
      <c r="AB104" s="126">
        <v>230.75246089999999</v>
      </c>
      <c r="AC104" s="126">
        <v>333.39956840000002</v>
      </c>
      <c r="AD104" s="126">
        <v>649.95609950000005</v>
      </c>
      <c r="AF104" s="112">
        <v>8.9</v>
      </c>
      <c r="AG104" s="112">
        <v>32.956418463910197</v>
      </c>
      <c r="AH104" s="112"/>
      <c r="AJ104" s="113">
        <v>8.9</v>
      </c>
      <c r="AK104" s="113">
        <v>76.098646227675005</v>
      </c>
      <c r="AN104" s="157">
        <v>8.9</v>
      </c>
      <c r="AO104" s="157">
        <v>2471.5407129999999</v>
      </c>
      <c r="AP104" s="157">
        <v>3040.4495940000002</v>
      </c>
      <c r="AQ104" s="157">
        <v>3655.863288</v>
      </c>
      <c r="AR104" s="157">
        <v>4931.6453289999999</v>
      </c>
      <c r="AS104" s="157">
        <v>8374.4700589999993</v>
      </c>
      <c r="AT104" s="157">
        <v>11560.37565</v>
      </c>
      <c r="AV104" s="66">
        <v>8.9</v>
      </c>
      <c r="AW104" s="66">
        <v>1389.5287262982399</v>
      </c>
      <c r="AX104" s="66">
        <v>1832.09953159008</v>
      </c>
      <c r="AY104" s="66">
        <v>2253.7431709574398</v>
      </c>
      <c r="AZ104" s="66">
        <v>3183.8394342677998</v>
      </c>
      <c r="BA104" s="66">
        <v>5928.9656235925604</v>
      </c>
      <c r="BB104" s="66">
        <v>9839.5603264604306</v>
      </c>
    </row>
    <row r="105" spans="1:54" ht="15" x14ac:dyDescent="0.25">
      <c r="A105" s="127">
        <v>9</v>
      </c>
      <c r="B105" s="127">
        <v>66.807983277188697</v>
      </c>
      <c r="C105" s="127">
        <v>69.9048709273508</v>
      </c>
      <c r="D105" s="127">
        <v>71.062603856369194</v>
      </c>
      <c r="E105" s="127">
        <v>77.863793687510906</v>
      </c>
      <c r="F105" s="127">
        <v>96.028132387427902</v>
      </c>
      <c r="G105" s="127">
        <v>129.93833752723199</v>
      </c>
      <c r="H105" s="127">
        <v>195.92576374523</v>
      </c>
      <c r="I105" s="127">
        <v>392.05003979195197</v>
      </c>
      <c r="K105" s="66">
        <v>9</v>
      </c>
      <c r="L105" s="66">
        <v>89.724951888388404</v>
      </c>
      <c r="M105" s="66">
        <v>91.583084478485702</v>
      </c>
      <c r="N105" s="66">
        <v>96.412493226988502</v>
      </c>
      <c r="O105" s="66">
        <v>103.21368305813</v>
      </c>
      <c r="P105" s="66">
        <v>123.52289331159299</v>
      </c>
      <c r="Q105" s="66">
        <v>162.932050636231</v>
      </c>
      <c r="R105" s="66">
        <v>241.75036528550601</v>
      </c>
      <c r="S105" s="66">
        <v>482.161795592727</v>
      </c>
      <c r="T105" s="66">
        <v>504.68973454292097</v>
      </c>
      <c r="V105" s="126">
        <v>9</v>
      </c>
      <c r="W105" s="126">
        <v>129.9844913</v>
      </c>
      <c r="X105" s="126">
        <v>135.55888909999999</v>
      </c>
      <c r="Y105" s="126">
        <v>139.07450220000001</v>
      </c>
      <c r="Z105" s="126">
        <v>148.9671419</v>
      </c>
      <c r="AA105" s="126">
        <v>179.4289072</v>
      </c>
      <c r="AB105" s="126">
        <v>230.75246089999999</v>
      </c>
      <c r="AC105" s="126">
        <v>333.39956840000002</v>
      </c>
      <c r="AD105" s="126">
        <v>649.95609950000005</v>
      </c>
      <c r="AF105" s="112">
        <v>9</v>
      </c>
      <c r="AG105" s="112">
        <v>32.956418463910197</v>
      </c>
      <c r="AH105" s="112"/>
      <c r="AJ105" s="113">
        <v>9</v>
      </c>
      <c r="AK105" s="113">
        <v>76.098646227675005</v>
      </c>
      <c r="AN105" s="157">
        <v>9</v>
      </c>
      <c r="AO105" s="157">
        <v>2471.5407129999999</v>
      </c>
      <c r="AP105" s="157">
        <v>3040.4495940000002</v>
      </c>
      <c r="AQ105" s="157">
        <v>3655.863288</v>
      </c>
      <c r="AR105" s="157">
        <v>4819.2586970000002</v>
      </c>
      <c r="AS105" s="157">
        <v>8183.6584069999999</v>
      </c>
      <c r="AT105" s="157">
        <v>11560.37565</v>
      </c>
      <c r="AV105" s="66">
        <v>9</v>
      </c>
      <c r="AW105" s="66">
        <v>1358.5255175212201</v>
      </c>
      <c r="AX105" s="66">
        <v>1832.09953159008</v>
      </c>
      <c r="AY105" s="66">
        <v>2253.7431709574398</v>
      </c>
      <c r="AZ105" s="66">
        <v>3183.8394342677998</v>
      </c>
      <c r="BA105" s="66">
        <v>5928.9656235925604</v>
      </c>
      <c r="BB105" s="66">
        <v>9839.5603264604306</v>
      </c>
    </row>
    <row r="106" spans="1:54" ht="15" x14ac:dyDescent="0.25">
      <c r="A106" s="127">
        <v>9.1</v>
      </c>
      <c r="B106" s="127">
        <v>66.807983277188697</v>
      </c>
      <c r="C106" s="127">
        <v>69.9048709273508</v>
      </c>
      <c r="D106" s="127">
        <v>71.062603856369194</v>
      </c>
      <c r="E106" s="127">
        <v>77.863793687510906</v>
      </c>
      <c r="F106" s="127">
        <v>96.028132387427902</v>
      </c>
      <c r="G106" s="127">
        <v>129.93833752723199</v>
      </c>
      <c r="H106" s="127">
        <v>195.92576374523</v>
      </c>
      <c r="I106" s="127">
        <v>392.05003979195197</v>
      </c>
      <c r="K106" s="66">
        <v>9.1</v>
      </c>
      <c r="L106" s="66">
        <v>89.724951888388404</v>
      </c>
      <c r="M106" s="66">
        <v>91.583084478485702</v>
      </c>
      <c r="N106" s="66">
        <v>96.412493226988502</v>
      </c>
      <c r="O106" s="66">
        <v>103.21368305813</v>
      </c>
      <c r="P106" s="66">
        <v>123.52289331159299</v>
      </c>
      <c r="Q106" s="66">
        <v>162.932050636231</v>
      </c>
      <c r="R106" s="66">
        <v>241.75036528550601</v>
      </c>
      <c r="S106" s="66">
        <v>482.161795592727</v>
      </c>
      <c r="T106" s="66">
        <v>504.68973454292097</v>
      </c>
      <c r="V106" s="126">
        <v>9.1</v>
      </c>
      <c r="W106" s="126">
        <v>129.9844913</v>
      </c>
      <c r="X106" s="126">
        <v>132.46200150000001</v>
      </c>
      <c r="Y106" s="126">
        <v>139.07450220000001</v>
      </c>
      <c r="Z106" s="126">
        <v>145.25740200000001</v>
      </c>
      <c r="AA106" s="126">
        <v>179.4289072</v>
      </c>
      <c r="AB106" s="126">
        <v>230.75246089999999</v>
      </c>
      <c r="AC106" s="126">
        <v>333.39956840000002</v>
      </c>
      <c r="AD106" s="126">
        <v>649.95609950000005</v>
      </c>
      <c r="AF106" s="112">
        <v>9.1</v>
      </c>
      <c r="AG106" s="112">
        <v>32.956418463910197</v>
      </c>
      <c r="AH106" s="112"/>
      <c r="AJ106" s="113">
        <v>9.1</v>
      </c>
      <c r="AK106" s="113">
        <v>76.098646227675005</v>
      </c>
      <c r="AN106" s="157">
        <v>9.1</v>
      </c>
      <c r="AO106" s="157">
        <v>2471.5407129999999</v>
      </c>
      <c r="AP106" s="157">
        <v>3040.4495940000002</v>
      </c>
      <c r="AQ106" s="157">
        <v>3655.863288</v>
      </c>
      <c r="AR106" s="157">
        <v>4819.2586970000002</v>
      </c>
      <c r="AS106" s="157">
        <v>8183.6584069999999</v>
      </c>
      <c r="AT106" s="157">
        <v>11560.37565</v>
      </c>
      <c r="AV106" s="66">
        <v>9.1</v>
      </c>
      <c r="AW106" s="66">
        <v>1358.5255175212201</v>
      </c>
      <c r="AX106" s="66">
        <v>1832.09953159008</v>
      </c>
      <c r="AY106" s="66">
        <v>2253.7431709574398</v>
      </c>
      <c r="AZ106" s="66">
        <v>3183.8394342677998</v>
      </c>
      <c r="BA106" s="66">
        <v>5928.9656235925604</v>
      </c>
      <c r="BB106" s="66">
        <v>9839.5603264604306</v>
      </c>
    </row>
    <row r="107" spans="1:54" ht="15" x14ac:dyDescent="0.25">
      <c r="A107" s="127">
        <v>9.1999999999999993</v>
      </c>
      <c r="B107" s="127">
        <v>66.807983277188697</v>
      </c>
      <c r="C107" s="127">
        <v>69.9048709273508</v>
      </c>
      <c r="D107" s="127">
        <v>71.062603856369194</v>
      </c>
      <c r="E107" s="127">
        <v>77.863793687510906</v>
      </c>
      <c r="F107" s="127">
        <v>96.028132387427902</v>
      </c>
      <c r="G107" s="127">
        <v>129.93833752723199</v>
      </c>
      <c r="H107" s="127">
        <v>192.259795622008</v>
      </c>
      <c r="I107" s="127">
        <v>392.05003979195197</v>
      </c>
      <c r="K107" s="66">
        <v>9.1999999999999993</v>
      </c>
      <c r="L107" s="66">
        <v>89.724951888388404</v>
      </c>
      <c r="M107" s="66">
        <v>91.583084478485702</v>
      </c>
      <c r="N107" s="66">
        <v>96.412493226988502</v>
      </c>
      <c r="O107" s="66">
        <v>103.21368305813</v>
      </c>
      <c r="P107" s="66">
        <v>123.52289331159299</v>
      </c>
      <c r="Q107" s="66">
        <v>162.932050636231</v>
      </c>
      <c r="R107" s="66">
        <v>241.75036528550601</v>
      </c>
      <c r="S107" s="66">
        <v>482.161795592727</v>
      </c>
      <c r="T107" s="66">
        <v>504.68973454292097</v>
      </c>
      <c r="V107" s="126">
        <v>9.1999999999999993</v>
      </c>
      <c r="W107" s="126">
        <v>129.9844913</v>
      </c>
      <c r="X107" s="126">
        <v>132.46200150000001</v>
      </c>
      <c r="Y107" s="126">
        <v>139.07450220000001</v>
      </c>
      <c r="Z107" s="126">
        <v>145.25740200000001</v>
      </c>
      <c r="AA107" s="126">
        <v>174.84644700000001</v>
      </c>
      <c r="AB107" s="126">
        <v>230.75246089999999</v>
      </c>
      <c r="AC107" s="126">
        <v>333.39956840000002</v>
      </c>
      <c r="AD107" s="126">
        <v>635.19641539999998</v>
      </c>
      <c r="AF107" s="112">
        <v>9.1999999999999993</v>
      </c>
      <c r="AG107" s="112">
        <v>32.956418463910197</v>
      </c>
      <c r="AH107" s="112"/>
      <c r="AJ107" s="113">
        <v>9.1999999999999993</v>
      </c>
      <c r="AK107" s="113">
        <v>76.098646227675005</v>
      </c>
      <c r="AN107" s="157">
        <v>9.1999999999999993</v>
      </c>
      <c r="AO107" s="157">
        <v>2471.5407129999999</v>
      </c>
      <c r="AP107" s="157">
        <v>3040.4495940000002</v>
      </c>
      <c r="AQ107" s="157">
        <v>3655.863288</v>
      </c>
      <c r="AR107" s="157">
        <v>4819.2586970000002</v>
      </c>
      <c r="AS107" s="157">
        <v>8183.6584069999999</v>
      </c>
      <c r="AT107" s="157">
        <v>11560.37565</v>
      </c>
      <c r="AV107" s="66">
        <v>9.1999999999999993</v>
      </c>
      <c r="AW107" s="66">
        <v>1358.5255175212201</v>
      </c>
      <c r="AX107" s="66">
        <v>1832.09953159008</v>
      </c>
      <c r="AY107" s="66">
        <v>2253.7431709574398</v>
      </c>
      <c r="AZ107" s="66">
        <v>3183.8394342677998</v>
      </c>
      <c r="BA107" s="66">
        <v>5928.9656235925604</v>
      </c>
      <c r="BB107" s="66">
        <v>9839.5603264604306</v>
      </c>
    </row>
    <row r="108" spans="1:54" ht="15" x14ac:dyDescent="0.25">
      <c r="A108" s="127">
        <v>9.3000000000000007</v>
      </c>
      <c r="B108" s="127">
        <v>66.807983277188697</v>
      </c>
      <c r="C108" s="127">
        <v>69.9048709273508</v>
      </c>
      <c r="D108" s="127">
        <v>71.062603856369194</v>
      </c>
      <c r="E108" s="127">
        <v>77.863793687510906</v>
      </c>
      <c r="F108" s="127">
        <v>96.028132387427902</v>
      </c>
      <c r="G108" s="127">
        <v>127.188861434816</v>
      </c>
      <c r="H108" s="127">
        <v>192.259795622008</v>
      </c>
      <c r="I108" s="127">
        <v>392.05003979195197</v>
      </c>
      <c r="K108" s="66">
        <v>9.3000000000000007</v>
      </c>
      <c r="L108" s="66">
        <v>89.724951888388404</v>
      </c>
      <c r="M108" s="66">
        <v>91.583084478485702</v>
      </c>
      <c r="N108" s="66">
        <v>93.939333288391495</v>
      </c>
      <c r="O108" s="66">
        <v>103.21368305813</v>
      </c>
      <c r="P108" s="66">
        <v>123.52289331159299</v>
      </c>
      <c r="Q108" s="66">
        <v>162.932050636231</v>
      </c>
      <c r="R108" s="66">
        <v>241.75036528550601</v>
      </c>
      <c r="S108" s="66">
        <v>482.161795592727</v>
      </c>
      <c r="T108" s="66">
        <v>504.68973454292097</v>
      </c>
      <c r="V108" s="126">
        <v>9.3000000000000007</v>
      </c>
      <c r="W108" s="126">
        <v>129.9844913</v>
      </c>
      <c r="X108" s="126">
        <v>132.46200150000001</v>
      </c>
      <c r="Y108" s="126">
        <v>135.9830522</v>
      </c>
      <c r="Z108" s="126">
        <v>145.25740200000001</v>
      </c>
      <c r="AA108" s="126">
        <v>174.84644700000001</v>
      </c>
      <c r="AB108" s="126">
        <v>225.2535087</v>
      </c>
      <c r="AC108" s="126">
        <v>333.39956840000002</v>
      </c>
      <c r="AD108" s="126">
        <v>635.19641539999998</v>
      </c>
      <c r="AF108" s="112">
        <v>9.3000000000000007</v>
      </c>
      <c r="AG108" s="112">
        <v>32.956418463910197</v>
      </c>
      <c r="AH108" s="112"/>
      <c r="AJ108" s="113">
        <v>9.3000000000000007</v>
      </c>
      <c r="AK108" s="113">
        <v>76.098646227675005</v>
      </c>
      <c r="AN108" s="157">
        <v>9.3000000000000007</v>
      </c>
      <c r="AO108" s="157">
        <v>2414.9598569999998</v>
      </c>
      <c r="AP108" s="157">
        <v>2971.4674540000001</v>
      </c>
      <c r="AQ108" s="157">
        <v>3572.1546239999998</v>
      </c>
      <c r="AR108" s="157">
        <v>4819.2586970000002</v>
      </c>
      <c r="AS108" s="157">
        <v>8183.6584069999999</v>
      </c>
      <c r="AT108" s="157">
        <v>11560.37565</v>
      </c>
      <c r="AV108" s="66">
        <v>9.3000000000000007</v>
      </c>
      <c r="AW108" s="66">
        <v>1358.5255175212201</v>
      </c>
      <c r="AX108" s="66">
        <v>1832.09953159008</v>
      </c>
      <c r="AY108" s="66">
        <v>2202.5878764753702</v>
      </c>
      <c r="AZ108" s="66">
        <v>3183.8394342677998</v>
      </c>
      <c r="BA108" s="66">
        <v>5928.9656235925604</v>
      </c>
      <c r="BB108" s="66">
        <v>9839.5603264604306</v>
      </c>
    </row>
    <row r="109" spans="1:54" ht="15" x14ac:dyDescent="0.25">
      <c r="A109" s="127">
        <v>9.4</v>
      </c>
      <c r="B109" s="127">
        <v>66.807983277188697</v>
      </c>
      <c r="C109" s="127">
        <v>69.9048709273508</v>
      </c>
      <c r="D109" s="127">
        <v>71.062603856369194</v>
      </c>
      <c r="E109" s="127">
        <v>77.863793687510906</v>
      </c>
      <c r="F109" s="127">
        <v>96.028132387427902</v>
      </c>
      <c r="G109" s="127">
        <v>127.188861434816</v>
      </c>
      <c r="H109" s="127">
        <v>192.259795622008</v>
      </c>
      <c r="I109" s="127">
        <v>392.05003979195197</v>
      </c>
      <c r="K109" s="66">
        <v>9.4</v>
      </c>
      <c r="L109" s="66">
        <v>89.724951888388404</v>
      </c>
      <c r="M109" s="66">
        <v>91.583084478485702</v>
      </c>
      <c r="N109" s="66">
        <v>93.939333288391495</v>
      </c>
      <c r="O109" s="66">
        <v>103.21368305813</v>
      </c>
      <c r="P109" s="66">
        <v>123.52289331159299</v>
      </c>
      <c r="Q109" s="66">
        <v>162.932050636231</v>
      </c>
      <c r="R109" s="66">
        <v>241.75036528550601</v>
      </c>
      <c r="S109" s="66">
        <v>482.161795592727</v>
      </c>
      <c r="T109" s="66">
        <v>504.68973454292097</v>
      </c>
      <c r="V109" s="126">
        <v>9.4</v>
      </c>
      <c r="W109" s="126">
        <v>129.9844913</v>
      </c>
      <c r="X109" s="126">
        <v>132.46200150000001</v>
      </c>
      <c r="Y109" s="126">
        <v>135.9830522</v>
      </c>
      <c r="Z109" s="126">
        <v>145.25740200000001</v>
      </c>
      <c r="AA109" s="126">
        <v>174.84644700000001</v>
      </c>
      <c r="AB109" s="126">
        <v>225.2535087</v>
      </c>
      <c r="AC109" s="126">
        <v>333.39956840000002</v>
      </c>
      <c r="AD109" s="126">
        <v>635.19641539999998</v>
      </c>
      <c r="AF109" s="112">
        <v>9.4</v>
      </c>
      <c r="AG109" s="112">
        <v>32.956418463910197</v>
      </c>
      <c r="AH109" s="112"/>
      <c r="AJ109" s="113">
        <v>9.4</v>
      </c>
      <c r="AK109" s="113">
        <v>76.098646227675005</v>
      </c>
      <c r="AN109" s="157">
        <v>9.4</v>
      </c>
      <c r="AO109" s="157">
        <v>2414.9598569999998</v>
      </c>
      <c r="AP109" s="157">
        <v>2971.4674540000001</v>
      </c>
      <c r="AQ109" s="157">
        <v>3572.1546239999998</v>
      </c>
      <c r="AR109" s="157">
        <v>4819.2586970000002</v>
      </c>
      <c r="AS109" s="157">
        <v>8183.6584069999999</v>
      </c>
      <c r="AT109" s="157">
        <v>11560.37565</v>
      </c>
      <c r="AV109" s="66">
        <v>9.4</v>
      </c>
      <c r="AW109" s="66">
        <v>1358.5255175212201</v>
      </c>
      <c r="AX109" s="66">
        <v>1832.09953159008</v>
      </c>
      <c r="AY109" s="66">
        <v>2202.5878764753702</v>
      </c>
      <c r="AZ109" s="66">
        <v>3183.8394342677998</v>
      </c>
      <c r="BA109" s="66">
        <v>5928.9656235925604</v>
      </c>
      <c r="BB109" s="66">
        <v>9839.5603264604306</v>
      </c>
    </row>
    <row r="110" spans="1:54" ht="15" x14ac:dyDescent="0.25">
      <c r="A110" s="127">
        <v>9.5</v>
      </c>
      <c r="B110" s="127">
        <v>66.807983277188697</v>
      </c>
      <c r="C110" s="127">
        <v>69.9048709273508</v>
      </c>
      <c r="D110" s="127">
        <v>71.062603856369194</v>
      </c>
      <c r="E110" s="127">
        <v>77.863793687510906</v>
      </c>
      <c r="F110" s="127">
        <v>96.028132387427902</v>
      </c>
      <c r="G110" s="127">
        <v>127.188861434816</v>
      </c>
      <c r="H110" s="127">
        <v>192.259795622008</v>
      </c>
      <c r="I110" s="127">
        <v>392.05003979195197</v>
      </c>
      <c r="K110" s="66">
        <v>9.5</v>
      </c>
      <c r="L110" s="66">
        <v>89.724951888388404</v>
      </c>
      <c r="M110" s="66">
        <v>91.583084478485702</v>
      </c>
      <c r="N110" s="66">
        <v>93.939333288391495</v>
      </c>
      <c r="O110" s="66">
        <v>103.21368305813</v>
      </c>
      <c r="P110" s="66">
        <v>123.52289331159299</v>
      </c>
      <c r="Q110" s="66">
        <v>162.932050636231</v>
      </c>
      <c r="R110" s="66">
        <v>241.75036528550601</v>
      </c>
      <c r="S110" s="66">
        <v>482.161795592727</v>
      </c>
      <c r="T110" s="66">
        <v>493.03735232730401</v>
      </c>
      <c r="V110" s="126">
        <v>9.5</v>
      </c>
      <c r="W110" s="126">
        <v>126.8876037</v>
      </c>
      <c r="X110" s="126">
        <v>132.46200150000001</v>
      </c>
      <c r="Y110" s="126">
        <v>135.9830522</v>
      </c>
      <c r="Z110" s="126">
        <v>145.25740200000001</v>
      </c>
      <c r="AA110" s="126">
        <v>174.84644700000001</v>
      </c>
      <c r="AB110" s="126">
        <v>225.2535087</v>
      </c>
      <c r="AC110" s="126">
        <v>326.06763210000003</v>
      </c>
      <c r="AD110" s="126">
        <v>635.19641539999998</v>
      </c>
      <c r="AF110" s="112">
        <v>9.5</v>
      </c>
      <c r="AG110" s="112">
        <v>32.956418463910197</v>
      </c>
      <c r="AH110" s="112"/>
      <c r="AJ110" s="113">
        <v>9.5</v>
      </c>
      <c r="AK110" s="113">
        <v>76.098646227675005</v>
      </c>
      <c r="AN110" s="157">
        <v>9.5</v>
      </c>
      <c r="AO110" s="157">
        <v>2414.9598569999998</v>
      </c>
      <c r="AP110" s="157">
        <v>2971.4674540000001</v>
      </c>
      <c r="AQ110" s="157">
        <v>3572.1546239999998</v>
      </c>
      <c r="AR110" s="157">
        <v>4819.2586970000002</v>
      </c>
      <c r="AS110" s="157">
        <v>8183.6584069999999</v>
      </c>
      <c r="AT110" s="157">
        <v>11560.37565</v>
      </c>
      <c r="AV110" s="66">
        <v>9.5</v>
      </c>
      <c r="AW110" s="66">
        <v>1358.5255175212201</v>
      </c>
      <c r="AX110" s="66">
        <v>1832.09953159008</v>
      </c>
      <c r="AY110" s="66">
        <v>2202.5878764753702</v>
      </c>
      <c r="AZ110" s="66">
        <v>3183.8394342677998</v>
      </c>
      <c r="BA110" s="66">
        <v>5928.9656235925604</v>
      </c>
      <c r="BB110" s="66">
        <v>9839.5603264604306</v>
      </c>
    </row>
    <row r="111" spans="1:54" ht="15" x14ac:dyDescent="0.25">
      <c r="A111" s="127">
        <v>9.6</v>
      </c>
      <c r="B111" s="127">
        <v>66.807983277188697</v>
      </c>
      <c r="C111" s="127">
        <v>69.9048709273508</v>
      </c>
      <c r="D111" s="127">
        <v>71.062603856369194</v>
      </c>
      <c r="E111" s="127">
        <v>76.627213718212403</v>
      </c>
      <c r="F111" s="127">
        <v>96.028132387427902</v>
      </c>
      <c r="G111" s="127">
        <v>127.188861434816</v>
      </c>
      <c r="H111" s="127">
        <v>192.259795622008</v>
      </c>
      <c r="I111" s="127">
        <v>392.05003979195197</v>
      </c>
      <c r="K111" s="66">
        <v>9.6</v>
      </c>
      <c r="L111" s="66">
        <v>89.724951888388404</v>
      </c>
      <c r="M111" s="66">
        <v>91.583084478485702</v>
      </c>
      <c r="N111" s="66">
        <v>93.939333288391495</v>
      </c>
      <c r="O111" s="66">
        <v>103.21368305813</v>
      </c>
      <c r="P111" s="66">
        <v>123.52289331159299</v>
      </c>
      <c r="Q111" s="66">
        <v>162.932050636231</v>
      </c>
      <c r="R111" s="66">
        <v>241.75036528550601</v>
      </c>
      <c r="S111" s="66">
        <v>482.161795592727</v>
      </c>
      <c r="T111" s="66">
        <v>493.03735232730401</v>
      </c>
      <c r="V111" s="126">
        <v>9.6</v>
      </c>
      <c r="W111" s="126">
        <v>126.8876037</v>
      </c>
      <c r="X111" s="126">
        <v>129.9844913</v>
      </c>
      <c r="Y111" s="126">
        <v>135.9830522</v>
      </c>
      <c r="Z111" s="126">
        <v>145.25740200000001</v>
      </c>
      <c r="AA111" s="126">
        <v>174.84644700000001</v>
      </c>
      <c r="AB111" s="126">
        <v>225.2535087</v>
      </c>
      <c r="AC111" s="126">
        <v>326.06763210000003</v>
      </c>
      <c r="AD111" s="126">
        <v>635.19641539999998</v>
      </c>
      <c r="AF111" s="112">
        <v>9.6</v>
      </c>
      <c r="AG111" s="112">
        <v>32.956418463910197</v>
      </c>
      <c r="AH111" s="112"/>
      <c r="AJ111" s="113">
        <v>9.6</v>
      </c>
      <c r="AK111" s="113">
        <v>76.098646227675005</v>
      </c>
      <c r="AN111" s="157">
        <v>9.6</v>
      </c>
      <c r="AO111" s="157">
        <v>2414.9598569999998</v>
      </c>
      <c r="AP111" s="157">
        <v>2971.4674540000001</v>
      </c>
      <c r="AQ111" s="157">
        <v>3572.1546239999998</v>
      </c>
      <c r="AR111" s="157">
        <v>4709.197306</v>
      </c>
      <c r="AS111" s="157">
        <v>7997.7143990000004</v>
      </c>
      <c r="AT111" s="157">
        <v>11560.37565</v>
      </c>
      <c r="AV111" s="66">
        <v>9.6</v>
      </c>
      <c r="AW111" s="66">
        <v>1358.5255175212201</v>
      </c>
      <c r="AX111" s="66">
        <v>1790.2451997411099</v>
      </c>
      <c r="AY111" s="66">
        <v>2202.5878764753702</v>
      </c>
      <c r="AZ111" s="66">
        <v>3183.8394342677998</v>
      </c>
      <c r="BA111" s="66">
        <v>5928.9656235925604</v>
      </c>
      <c r="BB111" s="66">
        <v>9839.5603264604306</v>
      </c>
    </row>
    <row r="112" spans="1:54" ht="15" x14ac:dyDescent="0.25">
      <c r="A112" s="127">
        <v>9.6999999999999993</v>
      </c>
      <c r="B112" s="127">
        <v>66.807983277188697</v>
      </c>
      <c r="C112" s="127">
        <v>69.9048709273508</v>
      </c>
      <c r="D112" s="127">
        <v>71.062603856369194</v>
      </c>
      <c r="E112" s="127">
        <v>76.627213718212403</v>
      </c>
      <c r="F112" s="127">
        <v>96.028132387427902</v>
      </c>
      <c r="G112" s="127">
        <v>127.188861434816</v>
      </c>
      <c r="H112" s="127">
        <v>192.259795622008</v>
      </c>
      <c r="I112" s="127">
        <v>382.72813401945803</v>
      </c>
      <c r="K112" s="66">
        <v>9.6999999999999993</v>
      </c>
      <c r="L112" s="66">
        <v>89.724951888388404</v>
      </c>
      <c r="M112" s="66">
        <v>91.583084478485702</v>
      </c>
      <c r="N112" s="66">
        <v>93.939333288391495</v>
      </c>
      <c r="O112" s="66">
        <v>100.74052311953299</v>
      </c>
      <c r="P112" s="66">
        <v>123.52289331159299</v>
      </c>
      <c r="Q112" s="66">
        <v>162.932050636231</v>
      </c>
      <c r="R112" s="66">
        <v>241.75036528550601</v>
      </c>
      <c r="S112" s="66">
        <v>482.161795592727</v>
      </c>
      <c r="T112" s="66">
        <v>493.03735232730401</v>
      </c>
      <c r="V112" s="126">
        <v>9.6999999999999993</v>
      </c>
      <c r="W112" s="126">
        <v>126.8876037</v>
      </c>
      <c r="X112" s="126">
        <v>129.9844913</v>
      </c>
      <c r="Y112" s="126">
        <v>135.9830522</v>
      </c>
      <c r="Z112" s="126">
        <v>145.25740200000001</v>
      </c>
      <c r="AA112" s="126">
        <v>174.84644700000001</v>
      </c>
      <c r="AB112" s="126">
        <v>225.2535087</v>
      </c>
      <c r="AC112" s="126">
        <v>326.06763210000003</v>
      </c>
      <c r="AD112" s="126">
        <v>635.19641539999998</v>
      </c>
      <c r="AF112" s="112">
        <v>9.6999999999999993</v>
      </c>
      <c r="AG112" s="112">
        <v>32.956418463910197</v>
      </c>
      <c r="AH112" s="112"/>
      <c r="AJ112" s="113">
        <v>9.6999999999999993</v>
      </c>
      <c r="AK112" s="113">
        <v>76.098646227675005</v>
      </c>
      <c r="AN112" s="157">
        <v>9.6999999999999993</v>
      </c>
      <c r="AO112" s="157">
        <v>2414.9598569999998</v>
      </c>
      <c r="AP112" s="157">
        <v>2971.4674540000001</v>
      </c>
      <c r="AQ112" s="157">
        <v>3572.1546239999998</v>
      </c>
      <c r="AR112" s="157">
        <v>4709.197306</v>
      </c>
      <c r="AS112" s="157">
        <v>7997.7143990000004</v>
      </c>
      <c r="AT112" s="157">
        <v>11560.37565</v>
      </c>
      <c r="AV112" s="66">
        <v>9.6999999999999993</v>
      </c>
      <c r="AW112" s="66">
        <v>1358.5255175212201</v>
      </c>
      <c r="AX112" s="66">
        <v>1790.2451997411099</v>
      </c>
      <c r="AY112" s="66">
        <v>2202.5878764753702</v>
      </c>
      <c r="AZ112" s="66">
        <v>3183.8394342677998</v>
      </c>
      <c r="BA112" s="66">
        <v>5928.9656235925604</v>
      </c>
      <c r="BB112" s="66">
        <v>9839.5603264604306</v>
      </c>
    </row>
    <row r="113" spans="1:54" ht="15" x14ac:dyDescent="0.25">
      <c r="A113" s="127">
        <v>9.8000000000000007</v>
      </c>
      <c r="B113" s="127">
        <v>64.949850687091399</v>
      </c>
      <c r="C113" s="127">
        <v>69.9048709273508</v>
      </c>
      <c r="D113" s="127">
        <v>71.062603856369194</v>
      </c>
      <c r="E113" s="127">
        <v>76.627213718212403</v>
      </c>
      <c r="F113" s="127">
        <v>96.028132387427902</v>
      </c>
      <c r="G113" s="127">
        <v>127.188861434816</v>
      </c>
      <c r="H113" s="127">
        <v>192.259795622008</v>
      </c>
      <c r="I113" s="127">
        <v>382.72813401945803</v>
      </c>
      <c r="K113" s="66">
        <v>9.8000000000000007</v>
      </c>
      <c r="L113" s="66">
        <v>87.866819298291105</v>
      </c>
      <c r="M113" s="66">
        <v>91.583084478485702</v>
      </c>
      <c r="N113" s="66">
        <v>93.939333288391495</v>
      </c>
      <c r="O113" s="66">
        <v>100.74052311953299</v>
      </c>
      <c r="P113" s="66">
        <v>123.52289331159299</v>
      </c>
      <c r="Q113" s="66">
        <v>159.266082513009</v>
      </c>
      <c r="R113" s="66">
        <v>241.75036528550601</v>
      </c>
      <c r="S113" s="66">
        <v>482.161795592727</v>
      </c>
      <c r="T113" s="66">
        <v>493.03735232730401</v>
      </c>
      <c r="V113" s="126">
        <v>9.8000000000000007</v>
      </c>
      <c r="W113" s="126">
        <v>126.8876037</v>
      </c>
      <c r="X113" s="126">
        <v>129.9844913</v>
      </c>
      <c r="Y113" s="126">
        <v>135.9830522</v>
      </c>
      <c r="Z113" s="126">
        <v>145.25740200000001</v>
      </c>
      <c r="AA113" s="126">
        <v>174.84644700000001</v>
      </c>
      <c r="AB113" s="126">
        <v>225.2535087</v>
      </c>
      <c r="AC113" s="126">
        <v>326.06763210000003</v>
      </c>
      <c r="AD113" s="126">
        <v>635.19641539999998</v>
      </c>
      <c r="AF113" s="112">
        <v>9.8000000000000007</v>
      </c>
      <c r="AG113" s="112">
        <v>32.956418463910197</v>
      </c>
      <c r="AH113" s="112"/>
      <c r="AJ113" s="113">
        <v>9.8000000000000007</v>
      </c>
      <c r="AK113" s="113">
        <v>76.098646227675005</v>
      </c>
      <c r="AN113" s="157">
        <v>9.8000000000000007</v>
      </c>
      <c r="AO113" s="157">
        <v>2414.9598569999998</v>
      </c>
      <c r="AP113" s="157">
        <v>2971.4674540000001</v>
      </c>
      <c r="AQ113" s="157">
        <v>3572.1546239999998</v>
      </c>
      <c r="AR113" s="157">
        <v>4709.197306</v>
      </c>
      <c r="AS113" s="157">
        <v>7997.7143990000004</v>
      </c>
      <c r="AT113" s="157">
        <v>11560.37565</v>
      </c>
      <c r="AV113" s="66">
        <v>9.8000000000000007</v>
      </c>
      <c r="AW113" s="66">
        <v>1358.5255175212201</v>
      </c>
      <c r="AX113" s="66">
        <v>1790.2451997411099</v>
      </c>
      <c r="AY113" s="66">
        <v>2202.5878764753702</v>
      </c>
      <c r="AZ113" s="66">
        <v>3183.8394342677998</v>
      </c>
      <c r="BA113" s="66">
        <v>5928.9656235925604</v>
      </c>
      <c r="BB113" s="66">
        <v>9615.1353684596907</v>
      </c>
    </row>
    <row r="114" spans="1:54" ht="15" x14ac:dyDescent="0.25">
      <c r="A114" s="127">
        <v>9.9</v>
      </c>
      <c r="B114" s="127">
        <v>64.949850687091399</v>
      </c>
      <c r="C114" s="127">
        <v>69.9048709273508</v>
      </c>
      <c r="D114" s="127">
        <v>71.062603856369194</v>
      </c>
      <c r="E114" s="127">
        <v>76.627213718212403</v>
      </c>
      <c r="F114" s="127">
        <v>96.028132387427902</v>
      </c>
      <c r="G114" s="127">
        <v>127.188861434816</v>
      </c>
      <c r="H114" s="127">
        <v>192.259795622008</v>
      </c>
      <c r="I114" s="127">
        <v>382.72813401945803</v>
      </c>
      <c r="K114" s="66">
        <v>9.9</v>
      </c>
      <c r="L114" s="66">
        <v>87.866819298291105</v>
      </c>
      <c r="M114" s="66">
        <v>89.724951888388404</v>
      </c>
      <c r="N114" s="66">
        <v>93.939333288391495</v>
      </c>
      <c r="O114" s="66">
        <v>100.74052311953299</v>
      </c>
      <c r="P114" s="66">
        <v>123.52289331159299</v>
      </c>
      <c r="Q114" s="66">
        <v>159.266082513009</v>
      </c>
      <c r="R114" s="66">
        <v>241.75036528550601</v>
      </c>
      <c r="S114" s="66">
        <v>482.161795592727</v>
      </c>
      <c r="T114" s="66">
        <v>493.03735232730401</v>
      </c>
      <c r="V114" s="126">
        <v>9.9</v>
      </c>
      <c r="W114" s="126">
        <v>126.8876037</v>
      </c>
      <c r="X114" s="126">
        <v>129.9844913</v>
      </c>
      <c r="Y114" s="126">
        <v>135.9830522</v>
      </c>
      <c r="Z114" s="126">
        <v>142.1659521</v>
      </c>
      <c r="AA114" s="126">
        <v>171.1804789</v>
      </c>
      <c r="AB114" s="126">
        <v>225.2535087</v>
      </c>
      <c r="AC114" s="126">
        <v>326.06763210000003</v>
      </c>
      <c r="AD114" s="126">
        <v>635.19641539999998</v>
      </c>
      <c r="AF114" s="112">
        <v>9.9</v>
      </c>
      <c r="AG114" s="112">
        <v>32.956418463910197</v>
      </c>
      <c r="AH114" s="112"/>
      <c r="AJ114" s="113">
        <v>9.9</v>
      </c>
      <c r="AK114" s="113">
        <v>76.098646227675005</v>
      </c>
      <c r="AN114" s="157">
        <v>9.9</v>
      </c>
      <c r="AO114" s="157">
        <v>2359.929161</v>
      </c>
      <c r="AP114" s="157">
        <v>2971.4674540000001</v>
      </c>
      <c r="AQ114" s="157">
        <v>3572.1546239999998</v>
      </c>
      <c r="AR114" s="157">
        <v>4709.197306</v>
      </c>
      <c r="AS114" s="157">
        <v>7997.7143990000004</v>
      </c>
      <c r="AT114" s="157">
        <v>11560.37565</v>
      </c>
      <c r="AV114" s="66">
        <v>9.9</v>
      </c>
      <c r="AW114" s="66">
        <v>1327.52230874421</v>
      </c>
      <c r="AX114" s="66">
        <v>1790.2451997411099</v>
      </c>
      <c r="AY114" s="66">
        <v>2202.5878764753702</v>
      </c>
      <c r="AZ114" s="66">
        <v>3183.8394342677998</v>
      </c>
      <c r="BA114" s="66">
        <v>5928.9656235925604</v>
      </c>
      <c r="BB114" s="66">
        <v>9615.1353684596907</v>
      </c>
    </row>
    <row r="115" spans="1:54" ht="15" x14ac:dyDescent="0.25">
      <c r="A115" s="127">
        <v>10</v>
      </c>
      <c r="B115" s="127">
        <v>64.949850687091399</v>
      </c>
      <c r="C115" s="127">
        <v>69.9048709273508</v>
      </c>
      <c r="D115" s="127">
        <v>71.062603856369194</v>
      </c>
      <c r="E115" s="127">
        <v>76.627213718212403</v>
      </c>
      <c r="F115" s="127">
        <v>96.028132387427902</v>
      </c>
      <c r="G115" s="127">
        <v>127.188861434816</v>
      </c>
      <c r="H115" s="127">
        <v>192.259795622008</v>
      </c>
      <c r="I115" s="127">
        <v>382.72813401945803</v>
      </c>
      <c r="K115" s="66">
        <v>10</v>
      </c>
      <c r="L115" s="66">
        <v>87.866819298291105</v>
      </c>
      <c r="M115" s="66">
        <v>89.724951888388404</v>
      </c>
      <c r="N115" s="66">
        <v>93.939333288391495</v>
      </c>
      <c r="O115" s="66">
        <v>100.74052311953299</v>
      </c>
      <c r="P115" s="66">
        <v>123.52289331159299</v>
      </c>
      <c r="Q115" s="66">
        <v>159.266082513009</v>
      </c>
      <c r="R115" s="66">
        <v>241.75036528550601</v>
      </c>
      <c r="S115" s="66">
        <v>482.161795592727</v>
      </c>
      <c r="T115" s="66">
        <v>493.03735232730401</v>
      </c>
      <c r="V115" s="126">
        <v>10</v>
      </c>
      <c r="W115" s="126">
        <v>123.790716</v>
      </c>
      <c r="X115" s="126">
        <v>129.9844913</v>
      </c>
      <c r="Y115" s="126">
        <v>135.9830522</v>
      </c>
      <c r="Z115" s="126">
        <v>142.1659521</v>
      </c>
      <c r="AA115" s="126">
        <v>171.1804789</v>
      </c>
      <c r="AB115" s="126">
        <v>220.67104860000001</v>
      </c>
      <c r="AC115" s="126">
        <v>326.06763210000003</v>
      </c>
      <c r="AD115" s="126">
        <v>635.19641539999998</v>
      </c>
      <c r="AF115" s="112">
        <v>10</v>
      </c>
      <c r="AG115" s="112">
        <v>32.956418463910197</v>
      </c>
      <c r="AH115" s="112"/>
      <c r="AJ115" s="113">
        <v>10</v>
      </c>
      <c r="AK115" s="113">
        <v>74.859891167610201</v>
      </c>
      <c r="AN115" s="157">
        <v>10</v>
      </c>
      <c r="AO115" s="157">
        <v>2359.929161</v>
      </c>
      <c r="AP115" s="157">
        <v>2904.0354750000001</v>
      </c>
      <c r="AQ115" s="157">
        <v>3490.771201</v>
      </c>
      <c r="AR115" s="157">
        <v>4709.197306</v>
      </c>
      <c r="AS115" s="157">
        <v>7997.7143990000004</v>
      </c>
      <c r="AT115" s="157">
        <v>11296.97869</v>
      </c>
      <c r="AV115" s="66">
        <v>10</v>
      </c>
      <c r="AW115" s="66">
        <v>1327.52230874421</v>
      </c>
      <c r="AX115" s="66">
        <v>1790.2451997411099</v>
      </c>
      <c r="AY115" s="66">
        <v>2202.5878764753702</v>
      </c>
      <c r="AZ115" s="66">
        <v>3111.7569738612401</v>
      </c>
      <c r="BA115" s="66">
        <v>5928.9656235925604</v>
      </c>
      <c r="BB115" s="66">
        <v>9615.1353684596907</v>
      </c>
    </row>
  </sheetData>
  <pageMargins left="0.7" right="0.7" top="0.75" bottom="0.75" header="0.3" footer="0.3"/>
  <ignoredErrors>
    <ignoredError sqref="AS4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Y66"/>
  <sheetViews>
    <sheetView zoomScaleNormal="100" workbookViewId="0">
      <selection activeCell="I14" sqref="I14"/>
    </sheetView>
  </sheetViews>
  <sheetFormatPr defaultRowHeight="12.75" x14ac:dyDescent="0.2"/>
  <cols>
    <col min="1" max="1" width="10.42578125" customWidth="1"/>
    <col min="4" max="4" width="10.140625" customWidth="1"/>
    <col min="9" max="9" width="9.7109375" bestFit="1" customWidth="1"/>
    <col min="10" max="10" width="9.85546875" customWidth="1"/>
    <col min="13" max="13" width="32.140625" bestFit="1" customWidth="1"/>
    <col min="14" max="14" width="13" bestFit="1" customWidth="1"/>
    <col min="15" max="15" width="8.7109375" bestFit="1" customWidth="1"/>
    <col min="16" max="16" width="29.7109375" bestFit="1" customWidth="1"/>
    <col min="17" max="17" width="24.28515625" bestFit="1" customWidth="1"/>
    <col min="18" max="18" width="15.7109375" bestFit="1" customWidth="1"/>
  </cols>
  <sheetData>
    <row r="1" spans="1:23" ht="15" x14ac:dyDescent="0.25">
      <c r="A1" s="655" t="s">
        <v>149</v>
      </c>
      <c r="B1" s="655"/>
      <c r="C1" s="655"/>
      <c r="D1" s="655"/>
      <c r="E1" s="655"/>
      <c r="F1" s="655"/>
      <c r="G1" s="655"/>
      <c r="H1" s="70" t="s">
        <v>146</v>
      </c>
      <c r="I1" s="120">
        <f>Rho</f>
        <v>0</v>
      </c>
      <c r="M1" s="192"/>
      <c r="N1" s="192"/>
      <c r="O1" s="192"/>
      <c r="P1" s="192"/>
      <c r="Q1" s="192"/>
      <c r="R1" s="192"/>
      <c r="T1" s="52"/>
    </row>
    <row r="2" spans="1:23" ht="15" x14ac:dyDescent="0.25">
      <c r="A2" s="655"/>
      <c r="B2" s="655"/>
      <c r="C2" s="655"/>
      <c r="D2" s="655"/>
      <c r="E2" s="655"/>
      <c r="F2" s="655"/>
      <c r="G2" s="655"/>
      <c r="H2" s="71" t="s">
        <v>147</v>
      </c>
      <c r="I2" s="120">
        <f>Rho_2</f>
        <v>0</v>
      </c>
      <c r="K2" s="1"/>
      <c r="M2" s="190"/>
      <c r="N2" s="189"/>
      <c r="O2" s="187"/>
      <c r="P2" s="187"/>
      <c r="Q2" s="187"/>
      <c r="R2" s="193"/>
      <c r="S2" s="52"/>
      <c r="T2" s="52"/>
      <c r="U2" s="52"/>
      <c r="V2" s="52"/>
      <c r="W2" s="52"/>
    </row>
    <row r="3" spans="1:23" ht="15.75" thickBot="1" x14ac:dyDescent="0.3">
      <c r="A3" s="656"/>
      <c r="B3" s="656"/>
      <c r="C3" s="656"/>
      <c r="D3" s="656"/>
      <c r="E3" s="656"/>
      <c r="F3" s="656"/>
      <c r="G3" s="656"/>
      <c r="H3" s="72" t="s">
        <v>148</v>
      </c>
      <c r="I3" s="58">
        <f>h_rho_1</f>
        <v>0</v>
      </c>
      <c r="J3" s="2"/>
      <c r="M3" s="190"/>
      <c r="N3" s="189"/>
      <c r="O3" s="187"/>
      <c r="P3" s="187"/>
      <c r="Q3" s="187"/>
      <c r="R3" s="193"/>
      <c r="T3" s="34"/>
      <c r="U3" s="34"/>
      <c r="V3" s="34"/>
      <c r="W3" s="98"/>
    </row>
    <row r="4" spans="1:23" ht="15.75" thickBot="1" x14ac:dyDescent="0.3">
      <c r="A4" s="662" t="s">
        <v>97</v>
      </c>
      <c r="B4" s="663"/>
      <c r="C4" s="663"/>
      <c r="D4" s="663"/>
      <c r="E4" s="663"/>
      <c r="F4" s="663"/>
      <c r="G4" s="663"/>
      <c r="H4" s="663"/>
      <c r="I4" s="664"/>
      <c r="J4" s="2"/>
      <c r="M4" s="188"/>
      <c r="N4" s="189"/>
      <c r="O4" s="187"/>
      <c r="P4" s="187"/>
      <c r="Q4" s="187"/>
      <c r="R4" s="193"/>
      <c r="T4" s="34"/>
      <c r="U4" s="34"/>
      <c r="V4" s="34"/>
      <c r="W4" s="98"/>
    </row>
    <row r="5" spans="1:23" ht="15" x14ac:dyDescent="0.25">
      <c r="A5" s="665" t="s">
        <v>329</v>
      </c>
      <c r="B5" s="666"/>
      <c r="C5" s="666"/>
      <c r="D5" s="666"/>
      <c r="E5" s="666"/>
      <c r="F5" s="666"/>
      <c r="G5" s="666"/>
      <c r="H5" s="667"/>
      <c r="I5" s="105"/>
      <c r="J5" s="1"/>
      <c r="M5" s="188"/>
      <c r="N5" s="189"/>
      <c r="O5" s="187"/>
      <c r="P5" s="187"/>
      <c r="Q5" s="187"/>
      <c r="R5" s="193"/>
      <c r="S5" s="34"/>
      <c r="T5" s="34"/>
      <c r="U5" s="34"/>
      <c r="V5" s="34"/>
    </row>
    <row r="6" spans="1:23" ht="15" x14ac:dyDescent="0.25">
      <c r="A6" s="668" t="s">
        <v>330</v>
      </c>
      <c r="B6" s="669"/>
      <c r="C6" s="669"/>
      <c r="D6" s="669"/>
      <c r="E6" s="669"/>
      <c r="F6" s="669"/>
      <c r="G6" s="669"/>
      <c r="H6" s="670"/>
      <c r="I6" s="58">
        <f>IF(h&gt;'Earth Grid Calcs'!I3,'Earth Grid Calcs'!I2,IF(Rho_2&lt;Rho_1,IF(L+h&lt;h_rho_1,Rho_1,(L*Rho_1*Rho_2)/(Rho_2*(h_rho_1-h)+Rho_1*(L+h-h_rho_1))),Rho_2))</f>
        <v>0</v>
      </c>
      <c r="J6" s="1"/>
      <c r="M6" s="188"/>
      <c r="N6" s="189"/>
      <c r="O6" s="187"/>
      <c r="P6" s="187"/>
      <c r="Q6" s="187"/>
      <c r="R6" s="193"/>
      <c r="S6" s="34"/>
      <c r="T6" s="34"/>
      <c r="U6" s="34"/>
      <c r="V6" s="34"/>
    </row>
    <row r="7" spans="1:23" ht="15" x14ac:dyDescent="0.25">
      <c r="A7" s="657" t="s">
        <v>331</v>
      </c>
      <c r="B7" s="657"/>
      <c r="C7" s="657"/>
      <c r="D7" s="657"/>
      <c r="E7" s="657"/>
      <c r="F7" s="657"/>
      <c r="G7" s="657"/>
      <c r="H7" s="657"/>
      <c r="I7" s="106">
        <f>rad/1000</f>
        <v>0</v>
      </c>
      <c r="J7" s="1"/>
      <c r="M7" s="191"/>
      <c r="N7" s="189"/>
      <c r="O7" s="187"/>
      <c r="P7" s="187"/>
      <c r="Q7" s="187"/>
      <c r="R7" s="193"/>
      <c r="S7" s="34"/>
      <c r="T7" s="34"/>
      <c r="U7" s="34"/>
      <c r="V7" s="34"/>
    </row>
    <row r="8" spans="1:23" ht="15" x14ac:dyDescent="0.25">
      <c r="A8" s="657" t="s">
        <v>2</v>
      </c>
      <c r="B8" s="657"/>
      <c r="C8" s="657"/>
      <c r="D8" s="657"/>
      <c r="E8" s="657"/>
      <c r="F8" s="657"/>
      <c r="G8" s="657"/>
      <c r="H8" s="657"/>
      <c r="I8" s="128">
        <f>L</f>
        <v>0</v>
      </c>
      <c r="J8" s="1"/>
      <c r="M8" s="191"/>
      <c r="N8" s="189"/>
      <c r="O8" s="187"/>
      <c r="P8" s="187"/>
      <c r="Q8" s="187"/>
      <c r="R8" s="193"/>
      <c r="S8" s="104"/>
      <c r="T8" s="34"/>
      <c r="U8" s="34"/>
      <c r="V8" s="34"/>
    </row>
    <row r="9" spans="1:23" ht="15" x14ac:dyDescent="0.25">
      <c r="A9" s="657" t="s">
        <v>28</v>
      </c>
      <c r="B9" s="657"/>
      <c r="C9" s="657"/>
      <c r="D9" s="657"/>
      <c r="E9" s="657"/>
      <c r="F9" s="657"/>
      <c r="G9" s="657"/>
      <c r="H9" s="657"/>
      <c r="I9" s="128">
        <f>IF(ISBLANK(Main!F33),0,IF(OR(equipment_type= "Padmount Substation",equipment_type="Switching Station",conductive_pole="Yes"), 0, Main!F33))</f>
        <v>0</v>
      </c>
      <c r="J9" s="1"/>
      <c r="M9" s="191"/>
      <c r="N9" s="189"/>
      <c r="O9" s="187"/>
      <c r="P9" s="187"/>
      <c r="Q9" s="187"/>
      <c r="R9" s="193"/>
      <c r="S9" s="104"/>
      <c r="T9" s="34"/>
      <c r="U9" s="34"/>
      <c r="V9" s="34"/>
    </row>
    <row r="10" spans="1:23" ht="15" x14ac:dyDescent="0.25">
      <c r="A10" s="657" t="s">
        <v>3</v>
      </c>
      <c r="B10" s="657"/>
      <c r="C10" s="657"/>
      <c r="D10" s="657"/>
      <c r="E10" s="657"/>
      <c r="F10" s="657"/>
      <c r="G10" s="657"/>
      <c r="H10" s="657"/>
      <c r="I10" s="128">
        <f>N</f>
        <v>0</v>
      </c>
      <c r="J10" s="1"/>
      <c r="Q10" s="34"/>
      <c r="R10" s="103"/>
      <c r="S10" s="104"/>
      <c r="T10" s="34"/>
      <c r="U10" s="34"/>
      <c r="V10" s="34"/>
    </row>
    <row r="11" spans="1:23" ht="15" x14ac:dyDescent="0.25">
      <c r="A11" s="657"/>
      <c r="B11" s="657"/>
      <c r="C11" s="657"/>
      <c r="D11" s="657"/>
      <c r="E11" s="657"/>
      <c r="F11" s="657"/>
      <c r="G11" s="657"/>
      <c r="H11" s="657"/>
      <c r="I11" s="657"/>
      <c r="J11" s="1"/>
      <c r="Q11" s="34"/>
      <c r="R11" s="103"/>
      <c r="S11" s="104"/>
      <c r="T11" s="34"/>
      <c r="U11" s="34"/>
      <c r="V11" s="34"/>
    </row>
    <row r="12" spans="1:23" ht="13.5" customHeight="1" x14ac:dyDescent="0.25">
      <c r="A12" s="658" t="s">
        <v>332</v>
      </c>
      <c r="B12" s="659"/>
      <c r="C12" s="659"/>
      <c r="D12" s="659"/>
      <c r="E12" s="659"/>
      <c r="F12" s="659"/>
      <c r="G12" s="659"/>
      <c r="H12" s="659"/>
      <c r="I12" s="128" t="e">
        <f>(I6/2/PI()/I8)*(LN(4*I8/I7)-1)</f>
        <v>#DIV/0!</v>
      </c>
      <c r="J12" s="1"/>
      <c r="P12" s="190"/>
      <c r="Q12" s="100"/>
      <c r="R12" s="194"/>
      <c r="S12" s="194"/>
      <c r="T12" s="194"/>
      <c r="U12" s="194"/>
      <c r="V12" s="194"/>
    </row>
    <row r="13" spans="1:23" ht="15" customHeight="1" x14ac:dyDescent="0.25">
      <c r="A13" s="659" t="s">
        <v>333</v>
      </c>
      <c r="B13" s="659"/>
      <c r="C13" s="659"/>
      <c r="D13" s="659"/>
      <c r="E13" s="659"/>
      <c r="F13" s="659"/>
      <c r="G13" s="659"/>
      <c r="H13" s="659"/>
      <c r="I13" s="128">
        <f>IF(N&gt;1,0.9907*I10^-0.7593,1)</f>
        <v>1</v>
      </c>
      <c r="J13" s="1"/>
      <c r="M13" s="1"/>
      <c r="P13" s="190"/>
      <c r="Q13" s="100"/>
      <c r="R13" s="194"/>
      <c r="S13" s="194"/>
      <c r="T13" s="194"/>
      <c r="U13" s="194"/>
      <c r="V13" s="194"/>
    </row>
    <row r="14" spans="1:23" ht="15.75" customHeight="1" thickBot="1" x14ac:dyDescent="0.3">
      <c r="A14" s="661" t="s">
        <v>334</v>
      </c>
      <c r="B14" s="661"/>
      <c r="C14" s="661"/>
      <c r="D14" s="661"/>
      <c r="E14" s="661"/>
      <c r="F14" s="661"/>
      <c r="G14" s="661"/>
      <c r="H14" s="661"/>
      <c r="I14" s="129" t="e">
        <f>IF(I10=1,I12,I13*I12)</f>
        <v>#DIV/0!</v>
      </c>
      <c r="J14" s="1"/>
      <c r="M14" s="1"/>
      <c r="P14" s="188"/>
      <c r="Q14" s="100"/>
      <c r="R14" s="194"/>
      <c r="S14" s="194"/>
      <c r="T14" s="194"/>
      <c r="U14" s="194"/>
      <c r="V14" s="194"/>
    </row>
    <row r="15" spans="1:23" ht="12.75" customHeight="1" x14ac:dyDescent="0.2">
      <c r="A15" s="3"/>
      <c r="B15" s="3"/>
      <c r="C15" s="3"/>
      <c r="D15" s="3"/>
      <c r="E15" s="3"/>
      <c r="F15" s="3"/>
      <c r="G15" s="3"/>
      <c r="H15" s="3"/>
      <c r="J15" s="1"/>
      <c r="O15" s="52"/>
      <c r="P15" s="188"/>
      <c r="Q15" s="100"/>
      <c r="R15" s="194"/>
      <c r="S15" s="194"/>
      <c r="T15" s="194"/>
      <c r="U15" s="194"/>
      <c r="V15" s="194"/>
      <c r="W15" s="98"/>
    </row>
    <row r="16" spans="1:23" ht="13.5" customHeight="1" thickBot="1" x14ac:dyDescent="0.25">
      <c r="A16" s="3"/>
      <c r="B16" s="3"/>
      <c r="C16" s="3"/>
      <c r="D16" s="3"/>
      <c r="E16" s="3"/>
      <c r="F16" s="3"/>
      <c r="G16" s="3"/>
      <c r="H16" s="3"/>
      <c r="J16" s="1"/>
      <c r="O16" s="52"/>
      <c r="P16" s="188"/>
      <c r="Q16" s="100"/>
      <c r="R16" s="194"/>
      <c r="S16" s="194"/>
      <c r="T16" s="194"/>
      <c r="U16" s="194"/>
      <c r="V16" s="194"/>
      <c r="W16" s="98"/>
    </row>
    <row r="17" spans="1:25" ht="15.75" customHeight="1" thickBot="1" x14ac:dyDescent="0.3">
      <c r="A17" s="54" t="s">
        <v>335</v>
      </c>
      <c r="B17" s="55"/>
      <c r="C17" s="55"/>
      <c r="D17" s="55"/>
      <c r="E17" s="56"/>
      <c r="F17" s="56"/>
      <c r="G17" s="56"/>
      <c r="H17" s="57"/>
      <c r="I17" s="67" t="b">
        <v>1</v>
      </c>
      <c r="P17" s="191"/>
      <c r="Q17" s="100"/>
      <c r="R17" s="194"/>
      <c r="S17" s="194"/>
      <c r="T17" s="194"/>
      <c r="U17" s="194"/>
      <c r="V17" s="194"/>
    </row>
    <row r="18" spans="1:25" ht="15" customHeight="1" x14ac:dyDescent="0.25">
      <c r="A18" s="665" t="s">
        <v>329</v>
      </c>
      <c r="B18" s="666"/>
      <c r="C18" s="666"/>
      <c r="D18" s="666"/>
      <c r="E18" s="666"/>
      <c r="F18" s="666"/>
      <c r="G18" s="666"/>
      <c r="H18" s="667"/>
      <c r="I18" s="105"/>
      <c r="O18" s="6"/>
      <c r="P18" s="191"/>
      <c r="Q18" s="100"/>
      <c r="R18" s="194"/>
      <c r="S18" s="194"/>
      <c r="T18" s="194"/>
      <c r="U18" s="194"/>
      <c r="V18" s="194"/>
      <c r="W18" s="6"/>
      <c r="X18" s="6"/>
      <c r="Y18" s="6"/>
    </row>
    <row r="19" spans="1:25" ht="15" x14ac:dyDescent="0.25">
      <c r="A19" s="668" t="s">
        <v>330</v>
      </c>
      <c r="B19" s="669"/>
      <c r="C19" s="669"/>
      <c r="D19" s="669"/>
      <c r="E19" s="669"/>
      <c r="F19" s="669"/>
      <c r="G19" s="669"/>
      <c r="H19" s="670"/>
      <c r="I19" s="58" t="e">
        <f>IF(Rho_2&gt;Rho_1,Rho_2,IF(L_LV&lt;h_rho_1,Rho_1,(L_LV*Rho_1*Rho_2)/(Rho_2*(h_rho_1)+Rho_1*(L_LV-h_rho_1))))</f>
        <v>#DIV/0!</v>
      </c>
      <c r="O19" s="6"/>
      <c r="P19" s="191"/>
      <c r="Q19" s="100"/>
      <c r="R19" s="194"/>
      <c r="S19" s="194"/>
      <c r="T19" s="194"/>
      <c r="U19" s="194"/>
      <c r="V19" s="194"/>
      <c r="W19" s="6"/>
      <c r="X19" s="6"/>
      <c r="Y19" s="6"/>
    </row>
    <row r="20" spans="1:25" ht="15" x14ac:dyDescent="0.25">
      <c r="A20" s="657" t="s">
        <v>331</v>
      </c>
      <c r="B20" s="657"/>
      <c r="C20" s="657"/>
      <c r="D20" s="657"/>
      <c r="E20" s="657"/>
      <c r="F20" s="657"/>
      <c r="G20" s="657"/>
      <c r="H20" s="657"/>
      <c r="I20" s="106">
        <f>0.0075</f>
        <v>7.4999999999999997E-3</v>
      </c>
      <c r="J20" s="107"/>
      <c r="K20" s="107"/>
      <c r="L20" s="107"/>
      <c r="M20" s="107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ht="15" x14ac:dyDescent="0.25">
      <c r="A21" s="657" t="s">
        <v>2</v>
      </c>
      <c r="B21" s="657"/>
      <c r="C21" s="657"/>
      <c r="D21" s="657"/>
      <c r="E21" s="657"/>
      <c r="F21" s="657"/>
      <c r="G21" s="657"/>
      <c r="H21" s="657"/>
      <c r="I21" s="128">
        <f>L_LV</f>
        <v>2.4</v>
      </c>
      <c r="J21" s="107"/>
      <c r="K21" s="107"/>
      <c r="L21" s="107"/>
      <c r="M21" s="107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ht="15" x14ac:dyDescent="0.25">
      <c r="A22" s="657" t="s">
        <v>3</v>
      </c>
      <c r="B22" s="657"/>
      <c r="C22" s="657"/>
      <c r="D22" s="657"/>
      <c r="E22" s="657"/>
      <c r="F22" s="657"/>
      <c r="G22" s="657"/>
      <c r="H22" s="657"/>
      <c r="I22" s="128">
        <f>N_LV</f>
        <v>2</v>
      </c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ht="15" x14ac:dyDescent="0.25">
      <c r="A23" s="657"/>
      <c r="B23" s="657"/>
      <c r="C23" s="657"/>
      <c r="D23" s="657"/>
      <c r="E23" s="657"/>
      <c r="F23" s="657"/>
      <c r="G23" s="657"/>
      <c r="H23" s="657"/>
      <c r="I23" s="657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ht="15" x14ac:dyDescent="0.25">
      <c r="A24" s="659" t="s">
        <v>332</v>
      </c>
      <c r="B24" s="659"/>
      <c r="C24" s="659"/>
      <c r="D24" s="659"/>
      <c r="E24" s="659"/>
      <c r="F24" s="659"/>
      <c r="G24" s="659"/>
      <c r="H24" s="659"/>
      <c r="I24" s="128" t="e">
        <f>(I19/2/PI()/I21)*(LN(4*I21/I20)-1)</f>
        <v>#DIV/0!</v>
      </c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ht="15" x14ac:dyDescent="0.25">
      <c r="A25" s="659" t="s">
        <v>333</v>
      </c>
      <c r="B25" s="659"/>
      <c r="C25" s="659"/>
      <c r="D25" s="659"/>
      <c r="E25" s="659"/>
      <c r="F25" s="659"/>
      <c r="G25" s="659"/>
      <c r="H25" s="659"/>
      <c r="I25" s="128">
        <f>0.9907*I22^-0.7593</f>
        <v>0.5852886297698332</v>
      </c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ht="15.75" thickBot="1" x14ac:dyDescent="0.3">
      <c r="A26" s="660" t="s">
        <v>336</v>
      </c>
      <c r="B26" s="661"/>
      <c r="C26" s="661"/>
      <c r="D26" s="661"/>
      <c r="E26" s="661"/>
      <c r="F26" s="661"/>
      <c r="G26" s="661"/>
      <c r="H26" s="661"/>
      <c r="I26" s="129" t="e">
        <f>IF(I22=1,I24,I25*I24)</f>
        <v>#DIV/0!</v>
      </c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">
      <c r="O27" s="52"/>
      <c r="T27" s="6"/>
      <c r="U27" s="6"/>
      <c r="V27" s="6"/>
      <c r="W27" s="99"/>
      <c r="X27" s="6"/>
      <c r="Y27" s="6"/>
    </row>
    <row r="28" spans="1:25" ht="13.5" thickBot="1" x14ac:dyDescent="0.25">
      <c r="O28" s="52"/>
      <c r="T28" s="6"/>
      <c r="U28" s="6"/>
      <c r="V28" s="6"/>
      <c r="W28" s="99"/>
      <c r="X28" s="6"/>
      <c r="Y28" s="6"/>
    </row>
    <row r="29" spans="1:25" ht="15.75" thickBot="1" x14ac:dyDescent="0.3">
      <c r="A29" s="59" t="s">
        <v>87</v>
      </c>
      <c r="B29" s="49"/>
      <c r="C29" s="49"/>
      <c r="D29" s="49"/>
      <c r="E29" s="49"/>
      <c r="F29" s="49"/>
      <c r="G29" s="49"/>
      <c r="H29" s="49"/>
      <c r="I29" s="50"/>
      <c r="Q29" s="52"/>
      <c r="T29" s="52"/>
      <c r="W29" s="99"/>
      <c r="X29" s="6"/>
      <c r="Y29" s="6"/>
    </row>
    <row r="30" spans="1:25" ht="15" x14ac:dyDescent="0.25">
      <c r="A30" s="677" t="s">
        <v>102</v>
      </c>
      <c r="B30" s="678"/>
      <c r="C30" s="678"/>
      <c r="D30" s="678"/>
      <c r="E30" s="678"/>
      <c r="F30" s="678"/>
      <c r="G30" s="678"/>
      <c r="H30" s="679"/>
      <c r="I30" s="60">
        <f>N_customers</f>
        <v>0</v>
      </c>
      <c r="O30" s="97"/>
      <c r="P30" s="6"/>
      <c r="Q30" s="6"/>
      <c r="R30" s="6"/>
      <c r="S30" s="6"/>
      <c r="T30" s="6"/>
      <c r="U30" s="6"/>
      <c r="V30" s="6"/>
      <c r="W30" s="99"/>
      <c r="X30" s="6"/>
      <c r="Y30" s="6"/>
    </row>
    <row r="31" spans="1:25" ht="15" x14ac:dyDescent="0.25">
      <c r="A31" s="673" t="s">
        <v>152</v>
      </c>
      <c r="B31" s="674"/>
      <c r="C31" s="674"/>
      <c r="D31" s="674"/>
      <c r="E31" s="674"/>
      <c r="F31" s="674"/>
      <c r="G31" s="674"/>
      <c r="H31" s="675"/>
      <c r="I31" s="61">
        <f>IF(h_rho_1&lt;2,MAX(I1:I2),Rho_1)</f>
        <v>0</v>
      </c>
      <c r="O31" s="100"/>
      <c r="P31" s="6"/>
      <c r="Q31" s="6"/>
      <c r="R31" s="6"/>
      <c r="S31" s="6"/>
      <c r="T31" s="6"/>
      <c r="U31" s="6"/>
      <c r="V31" s="6"/>
      <c r="W31" s="99"/>
      <c r="X31" s="6"/>
      <c r="Y31" s="6"/>
    </row>
    <row r="32" spans="1:25" ht="15" x14ac:dyDescent="0.25">
      <c r="A32" s="673" t="s">
        <v>160</v>
      </c>
      <c r="B32" s="674"/>
      <c r="C32" s="674"/>
      <c r="D32" s="674"/>
      <c r="E32" s="674"/>
      <c r="F32" s="674"/>
      <c r="G32" s="674"/>
      <c r="H32" s="675"/>
      <c r="I32" s="76" t="e">
        <f>I31/(2*PI()*0.8)*(LN(4*0.8/0.006)-1)/I30</f>
        <v>#DIV/0!</v>
      </c>
      <c r="O32" s="6"/>
      <c r="P32" s="6"/>
      <c r="Q32" s="6"/>
      <c r="R32" s="6"/>
      <c r="S32" s="6"/>
      <c r="T32" s="6"/>
      <c r="U32" s="6"/>
      <c r="V32" s="6"/>
      <c r="W32" s="99"/>
      <c r="X32" s="6"/>
      <c r="Y32" s="6"/>
    </row>
    <row r="33" spans="1:25" ht="15" x14ac:dyDescent="0.25">
      <c r="A33" s="673" t="s">
        <v>161</v>
      </c>
      <c r="B33" s="674"/>
      <c r="C33" s="674"/>
      <c r="D33" s="674"/>
      <c r="E33" s="674"/>
      <c r="F33" s="674"/>
      <c r="G33" s="674"/>
      <c r="H33" s="675"/>
      <c r="I33" s="76" t="e">
        <f>I31/100*(61.331*I30^-0.899)</f>
        <v>#DIV/0!</v>
      </c>
      <c r="J33" s="107"/>
      <c r="O33" s="6"/>
      <c r="P33" s="6"/>
      <c r="Q33" s="6"/>
      <c r="R33" s="6"/>
      <c r="S33" s="6"/>
      <c r="T33" s="6"/>
      <c r="U33" s="6"/>
      <c r="V33" s="6"/>
      <c r="W33" s="99"/>
      <c r="X33" s="6"/>
      <c r="Y33" s="6"/>
    </row>
    <row r="34" spans="1:25" ht="15" x14ac:dyDescent="0.25">
      <c r="A34" s="673" t="s">
        <v>162</v>
      </c>
      <c r="B34" s="674"/>
      <c r="C34" s="674"/>
      <c r="D34" s="674"/>
      <c r="E34" s="674"/>
      <c r="F34" s="674"/>
      <c r="G34" s="674"/>
      <c r="H34" s="675"/>
      <c r="I34" s="76" t="e">
        <f>I31/100*(15.488*I30^-0.651)</f>
        <v>#DIV/0!</v>
      </c>
      <c r="O34" s="6"/>
      <c r="P34" s="6"/>
      <c r="Q34" s="6"/>
      <c r="R34" s="6"/>
      <c r="S34" s="6"/>
      <c r="T34" s="6"/>
      <c r="U34" s="6"/>
      <c r="V34" s="6"/>
      <c r="W34" s="99"/>
      <c r="X34" s="6"/>
      <c r="Y34" s="6"/>
    </row>
    <row r="35" spans="1:25" ht="15.75" thickBot="1" x14ac:dyDescent="0.3">
      <c r="A35" s="676" t="s">
        <v>103</v>
      </c>
      <c r="B35" s="676"/>
      <c r="C35" s="676"/>
      <c r="D35" s="676"/>
      <c r="E35" s="676"/>
      <c r="F35" s="676"/>
      <c r="G35" s="676"/>
      <c r="H35" s="676"/>
      <c r="I35" s="62" t="e">
        <f>MAX(I32:I34)</f>
        <v>#DIV/0!</v>
      </c>
      <c r="O35" s="6"/>
      <c r="P35" s="6"/>
      <c r="Q35" s="6"/>
      <c r="R35" s="6"/>
      <c r="S35" s="6"/>
      <c r="T35" s="6"/>
      <c r="U35" s="6"/>
      <c r="V35" s="6"/>
      <c r="W35" s="99"/>
      <c r="X35" s="6"/>
      <c r="Y35" s="6"/>
    </row>
    <row r="36" spans="1:25" ht="13.5" thickBot="1" x14ac:dyDescent="0.25">
      <c r="I36" s="52"/>
      <c r="O36" s="6"/>
      <c r="P36" s="6"/>
      <c r="Q36" s="6"/>
      <c r="R36" s="6"/>
      <c r="S36" s="6"/>
      <c r="T36" s="6"/>
      <c r="U36" s="6"/>
      <c r="V36" s="6"/>
      <c r="W36" s="99"/>
      <c r="X36" s="6"/>
      <c r="Y36" s="6"/>
    </row>
    <row r="37" spans="1:25" ht="13.5" customHeight="1" thickBot="1" x14ac:dyDescent="0.25">
      <c r="A37" s="671" t="s">
        <v>153</v>
      </c>
      <c r="B37" s="74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</row>
    <row r="38" spans="1:25" ht="13.5" thickBot="1" x14ac:dyDescent="0.25">
      <c r="A38" s="672"/>
      <c r="B38" s="52" t="s">
        <v>154</v>
      </c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</row>
    <row r="39" spans="1:25" ht="13.5" thickBot="1" x14ac:dyDescent="0.25">
      <c r="A39" s="73">
        <v>10</v>
      </c>
      <c r="B39">
        <v>1.006</v>
      </c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</row>
    <row r="40" spans="1:25" ht="13.5" thickBot="1" x14ac:dyDescent="0.25">
      <c r="A40" s="73">
        <v>20</v>
      </c>
      <c r="B40">
        <v>1.012</v>
      </c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</row>
    <row r="41" spans="1:25" ht="13.5" thickBot="1" x14ac:dyDescent="0.25">
      <c r="A41" s="73">
        <v>40</v>
      </c>
      <c r="B41">
        <v>1.024</v>
      </c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</row>
    <row r="42" spans="1:25" ht="13.5" thickBot="1" x14ac:dyDescent="0.25">
      <c r="A42" s="73">
        <v>60</v>
      </c>
      <c r="B42">
        <v>1.036</v>
      </c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</row>
    <row r="43" spans="1:25" ht="13.5" thickBot="1" x14ac:dyDescent="0.25">
      <c r="A43" s="73">
        <v>80</v>
      </c>
      <c r="B43">
        <v>1.048</v>
      </c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</row>
    <row r="44" spans="1:25" ht="13.5" thickBot="1" x14ac:dyDescent="0.25">
      <c r="A44" s="73">
        <v>100</v>
      </c>
      <c r="B44">
        <v>1.06</v>
      </c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</row>
    <row r="45" spans="1:25" ht="13.5" thickBot="1" x14ac:dyDescent="0.25">
      <c r="A45" s="73">
        <v>150</v>
      </c>
      <c r="B45">
        <v>1.0900000000000001</v>
      </c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</row>
    <row r="46" spans="1:25" ht="13.5" thickBot="1" x14ac:dyDescent="0.25">
      <c r="A46" s="73">
        <v>200</v>
      </c>
      <c r="B46">
        <v>1.1200000000000001</v>
      </c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</row>
    <row r="47" spans="1:25" ht="13.5" thickBot="1" x14ac:dyDescent="0.25">
      <c r="A47" s="73">
        <v>250</v>
      </c>
      <c r="B47">
        <v>1.1499999999999999</v>
      </c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</row>
    <row r="48" spans="1:25" ht="13.5" thickBot="1" x14ac:dyDescent="0.25">
      <c r="A48" s="73">
        <v>300</v>
      </c>
      <c r="B48">
        <v>1.18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</row>
    <row r="49" spans="1:23" ht="13.5" thickBot="1" x14ac:dyDescent="0.25">
      <c r="A49" s="73">
        <v>350</v>
      </c>
      <c r="B49">
        <v>1.21</v>
      </c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</row>
    <row r="50" spans="1:23" ht="13.5" thickBot="1" x14ac:dyDescent="0.25">
      <c r="A50" s="73">
        <v>400</v>
      </c>
      <c r="B50">
        <v>1.24</v>
      </c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</row>
    <row r="51" spans="1:23" ht="13.5" thickBot="1" x14ac:dyDescent="0.25">
      <c r="A51" s="73">
        <v>500</v>
      </c>
      <c r="B51">
        <v>1.3</v>
      </c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</row>
    <row r="52" spans="1:23" ht="13.5" thickBot="1" x14ac:dyDescent="0.25">
      <c r="A52" s="73">
        <v>600</v>
      </c>
      <c r="B52">
        <v>1.3599999999999999</v>
      </c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</row>
    <row r="53" spans="1:23" ht="13.5" thickBot="1" x14ac:dyDescent="0.25">
      <c r="A53" s="73">
        <v>700</v>
      </c>
      <c r="B53">
        <v>1.42</v>
      </c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</row>
    <row r="54" spans="1:23" ht="13.5" thickBot="1" x14ac:dyDescent="0.25">
      <c r="A54" s="73">
        <v>800</v>
      </c>
      <c r="B54">
        <v>1.48</v>
      </c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</row>
    <row r="55" spans="1:23" ht="13.5" thickBot="1" x14ac:dyDescent="0.25">
      <c r="A55" s="73">
        <v>900</v>
      </c>
      <c r="B55">
        <v>1.54</v>
      </c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</row>
    <row r="56" spans="1:23" ht="13.5" thickBot="1" x14ac:dyDescent="0.25">
      <c r="A56" s="73">
        <v>1000</v>
      </c>
      <c r="B56">
        <v>1.6</v>
      </c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</row>
    <row r="57" spans="1:23" ht="13.5" thickBot="1" x14ac:dyDescent="0.25">
      <c r="A57" s="73">
        <v>1250</v>
      </c>
      <c r="B57">
        <v>1.75</v>
      </c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3.5" thickBot="1" x14ac:dyDescent="0.25">
      <c r="A58" s="73">
        <v>1500</v>
      </c>
      <c r="B58">
        <v>1.899</v>
      </c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13.5" thickBot="1" x14ac:dyDescent="0.25">
      <c r="A59" s="73">
        <v>1750</v>
      </c>
      <c r="B59">
        <v>2.024</v>
      </c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13.5" thickBot="1" x14ac:dyDescent="0.25">
      <c r="A60" s="73">
        <v>2000</v>
      </c>
      <c r="B60">
        <v>2.149</v>
      </c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</row>
    <row r="61" spans="1:23" ht="13.5" thickBot="1" x14ac:dyDescent="0.25">
      <c r="A61" s="73">
        <v>2500</v>
      </c>
      <c r="B61">
        <v>2.399</v>
      </c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</row>
    <row r="62" spans="1:23" ht="13.5" thickBot="1" x14ac:dyDescent="0.25">
      <c r="A62" s="73">
        <v>3000</v>
      </c>
      <c r="B62">
        <v>2.399</v>
      </c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</row>
    <row r="63" spans="1:23" ht="13.5" thickBot="1" x14ac:dyDescent="0.25">
      <c r="A63" s="73">
        <v>3500</v>
      </c>
      <c r="B63">
        <v>2.399</v>
      </c>
    </row>
    <row r="64" spans="1:23" ht="13.5" thickBot="1" x14ac:dyDescent="0.25">
      <c r="A64" s="73">
        <v>4000</v>
      </c>
      <c r="B64">
        <v>2.399</v>
      </c>
    </row>
    <row r="65" spans="1:2" ht="13.5" thickBot="1" x14ac:dyDescent="0.25">
      <c r="A65" s="73">
        <v>5000</v>
      </c>
      <c r="B65">
        <v>2.399</v>
      </c>
    </row>
    <row r="66" spans="1:2" x14ac:dyDescent="0.2">
      <c r="A66" s="52" t="s">
        <v>155</v>
      </c>
      <c r="B66">
        <f ca="1">IF($I$30&lt;A39,1,IF($I$30&gt;A65-1,2.399,OFFSET(B38,MATCH($I$30,$A$39:$A$66,1),0)+(OFFSET(B38,1+MATCH($I$30,$A$39:$A$66,1),0)-OFFSET(B38,MATCH($I$30,$A$39:$A$66,1),0))*($I$30-OFFSET(A38,MATCH($I$30,$A$39:$A$66,1),0))/(OFFSET(A38,1+MATCH($I$30,$A$39:$A$66,1),0)-OFFSET(A38,MATCH($I$30,$A$39:$A$66,1),0))))</f>
        <v>1</v>
      </c>
    </row>
  </sheetData>
  <mergeCells count="28">
    <mergeCell ref="A37:A38"/>
    <mergeCell ref="A19:H19"/>
    <mergeCell ref="A20:H20"/>
    <mergeCell ref="A21:H21"/>
    <mergeCell ref="A22:H22"/>
    <mergeCell ref="A31:H31"/>
    <mergeCell ref="A32:H32"/>
    <mergeCell ref="A33:H33"/>
    <mergeCell ref="A34:H34"/>
    <mergeCell ref="A24:H24"/>
    <mergeCell ref="A23:I23"/>
    <mergeCell ref="A35:H35"/>
    <mergeCell ref="A30:H30"/>
    <mergeCell ref="A1:G3"/>
    <mergeCell ref="A11:I11"/>
    <mergeCell ref="A12:H12"/>
    <mergeCell ref="A25:H25"/>
    <mergeCell ref="A26:H26"/>
    <mergeCell ref="A9:H9"/>
    <mergeCell ref="A10:H10"/>
    <mergeCell ref="A13:H13"/>
    <mergeCell ref="A14:H14"/>
    <mergeCell ref="A4:I4"/>
    <mergeCell ref="A18:H18"/>
    <mergeCell ref="A5:H5"/>
    <mergeCell ref="A6:H6"/>
    <mergeCell ref="A7:H7"/>
    <mergeCell ref="A8:H8"/>
  </mergeCells>
  <phoneticPr fontId="18" type="noConversion"/>
  <pageMargins left="0.75" right="0.75" top="1" bottom="1" header="0.5" footer="0.5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Equation.3" shapeId="41997" r:id="rId4">
          <objectPr defaultSize="0" autoPict="0" r:id="rId5">
            <anchor moveWithCells="1">
              <from>
                <xdr:col>9</xdr:col>
                <xdr:colOff>285750</xdr:colOff>
                <xdr:row>7</xdr:row>
                <xdr:rowOff>180975</xdr:rowOff>
              </from>
              <to>
                <xdr:col>11</xdr:col>
                <xdr:colOff>447675</xdr:colOff>
                <xdr:row>10</xdr:row>
                <xdr:rowOff>95250</xdr:rowOff>
              </to>
            </anchor>
          </objectPr>
        </oleObject>
      </mc:Choice>
      <mc:Fallback>
        <oleObject progId="Equation.3" shapeId="41997" r:id="rId4"/>
      </mc:Fallback>
    </mc:AlternateContent>
    <mc:AlternateContent xmlns:mc="http://schemas.openxmlformats.org/markup-compatibility/2006">
      <mc:Choice Requires="x14">
        <oleObject progId="Mathcad" shapeId="41998" r:id="rId6">
          <objectPr defaultSize="0" autoPict="0" r:id="rId7">
            <anchor moveWithCells="1">
              <from>
                <xdr:col>9</xdr:col>
                <xdr:colOff>276225</xdr:colOff>
                <xdr:row>10</xdr:row>
                <xdr:rowOff>133350</xdr:rowOff>
              </from>
              <to>
                <xdr:col>12</xdr:col>
                <xdr:colOff>228600</xdr:colOff>
                <xdr:row>12</xdr:row>
                <xdr:rowOff>95250</xdr:rowOff>
              </to>
            </anchor>
          </objectPr>
        </oleObject>
      </mc:Choice>
      <mc:Fallback>
        <oleObject progId="Mathcad" shapeId="41998" r:id="rId6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B2530"/>
  <sheetViews>
    <sheetView zoomScale="70" zoomScaleNormal="70" workbookViewId="0">
      <selection activeCell="E21" sqref="E21"/>
    </sheetView>
  </sheetViews>
  <sheetFormatPr defaultColWidth="9.140625" defaultRowHeight="12.75" x14ac:dyDescent="0.2"/>
  <cols>
    <col min="1" max="1" width="13.85546875" style="102" customWidth="1"/>
    <col min="2" max="2" width="17" style="36" customWidth="1"/>
    <col min="3" max="3" width="8.28515625" style="88" customWidth="1"/>
    <col min="4" max="4" width="19.42578125" style="36" bestFit="1" customWidth="1"/>
    <col min="5" max="5" width="37.7109375" style="36" bestFit="1" customWidth="1"/>
    <col min="6" max="6" width="3.7109375" style="36" customWidth="1"/>
    <col min="7" max="7" width="4.5703125" style="36" bestFit="1" customWidth="1"/>
    <col min="8" max="8" width="9.28515625" style="36" bestFit="1" customWidth="1"/>
    <col min="9" max="9" width="36.85546875" style="36" bestFit="1" customWidth="1"/>
    <col min="10" max="10" width="3.5703125" style="36" customWidth="1"/>
    <col min="11" max="11" width="5.5703125" style="36" customWidth="1"/>
    <col min="12" max="12" width="3.5703125" style="36" customWidth="1"/>
    <col min="13" max="13" width="5.5703125" style="36" customWidth="1"/>
    <col min="14" max="14" width="3.5703125" style="36" customWidth="1"/>
    <col min="15" max="15" width="5.5703125" style="36" customWidth="1"/>
    <col min="16" max="16" width="3.5703125" style="36" customWidth="1"/>
    <col min="17" max="17" width="5.5703125" style="36" customWidth="1"/>
    <col min="18" max="18" width="3.5703125" style="36" customWidth="1"/>
    <col min="19" max="19" width="5.5703125" style="36" customWidth="1"/>
    <col min="20" max="20" width="3.5703125" style="36" customWidth="1"/>
    <col min="21" max="21" width="4.5703125" style="36" customWidth="1"/>
    <col min="22" max="22" width="3" style="36" customWidth="1"/>
    <col min="23" max="23" width="4.5703125" style="36" customWidth="1"/>
    <col min="24" max="24" width="3" style="36" customWidth="1"/>
    <col min="25" max="25" width="4.5703125" style="36" customWidth="1"/>
    <col min="26" max="26" width="3" style="36" customWidth="1"/>
    <col min="27" max="27" width="4.5703125" style="36" customWidth="1"/>
    <col min="28" max="28" width="3" style="36" customWidth="1"/>
    <col min="29" max="29" width="4.5703125" style="36" customWidth="1"/>
    <col min="30" max="30" width="3" style="36" customWidth="1"/>
    <col min="31" max="31" width="4.5703125" style="36" customWidth="1"/>
    <col min="32" max="32" width="3" style="36" customWidth="1"/>
    <col min="33" max="33" width="4.5703125" style="36" customWidth="1"/>
    <col min="34" max="34" width="3" style="36" customWidth="1"/>
    <col min="35" max="35" width="4.5703125" style="36" customWidth="1"/>
    <col min="36" max="36" width="3" style="36" customWidth="1"/>
    <col min="37" max="37" width="4.5703125" style="36" customWidth="1"/>
    <col min="38" max="38" width="3" style="36" customWidth="1"/>
    <col min="39" max="39" width="4.5703125" style="36" customWidth="1"/>
    <col min="40" max="40" width="3" style="36" customWidth="1"/>
    <col min="41" max="41" width="4" style="36" customWidth="1"/>
    <col min="42" max="42" width="3" style="36" customWidth="1"/>
    <col min="43" max="43" width="4" style="36" customWidth="1"/>
    <col min="44" max="44" width="3" style="36" customWidth="1"/>
    <col min="45" max="45" width="4" style="36" customWidth="1"/>
    <col min="46" max="46" width="3" style="36" customWidth="1"/>
    <col min="47" max="47" width="4" style="36" customWidth="1"/>
    <col min="48" max="48" width="3" style="36" customWidth="1"/>
    <col min="49" max="49" width="4" style="36" customWidth="1"/>
    <col min="50" max="50" width="3" style="36" customWidth="1"/>
    <col min="51" max="51" width="4" style="36" customWidth="1"/>
    <col min="52" max="52" width="3" style="36" customWidth="1"/>
    <col min="53" max="53" width="4" style="36" customWidth="1"/>
    <col min="54" max="54" width="3" style="36" customWidth="1"/>
    <col min="55" max="55" width="4" style="36" customWidth="1"/>
    <col min="56" max="56" width="3" style="36" customWidth="1"/>
    <col min="57" max="57" width="4" style="36" customWidth="1"/>
    <col min="58" max="58" width="3" style="36" customWidth="1"/>
    <col min="59" max="59" width="4" style="36" customWidth="1"/>
    <col min="60" max="60" width="3" style="36" customWidth="1"/>
    <col min="61" max="61" width="5" style="36" customWidth="1"/>
    <col min="62" max="62" width="3" style="36" customWidth="1"/>
    <col min="63" max="63" width="5" style="36" customWidth="1"/>
    <col min="64" max="64" width="3" style="36" customWidth="1"/>
    <col min="65" max="65" width="5" style="36" customWidth="1"/>
    <col min="66" max="66" width="3" style="36" customWidth="1"/>
    <col min="67" max="67" width="5" style="36" customWidth="1"/>
    <col min="68" max="68" width="3" style="36" customWidth="1"/>
    <col min="69" max="69" width="5" style="36" customWidth="1"/>
    <col min="70" max="70" width="3" style="36" customWidth="1"/>
    <col min="71" max="71" width="5" style="36" customWidth="1"/>
    <col min="72" max="72" width="3" style="36" customWidth="1"/>
    <col min="73" max="73" width="5" style="36" customWidth="1"/>
    <col min="74" max="74" width="3" style="36" customWidth="1"/>
    <col min="75" max="75" width="5" style="36" customWidth="1"/>
    <col min="76" max="76" width="3" style="36" customWidth="1"/>
    <col min="77" max="77" width="5" style="36" customWidth="1"/>
    <col min="78" max="78" width="3" style="36" customWidth="1"/>
    <col min="79" max="79" width="5" style="36" customWidth="1"/>
    <col min="80" max="80" width="11.7109375" style="36" bestFit="1" customWidth="1"/>
    <col min="81" max="16384" width="9.140625" style="36"/>
  </cols>
  <sheetData>
    <row r="1" spans="1:18" ht="15.75" thickBot="1" x14ac:dyDescent="0.3">
      <c r="A1" s="684" t="s">
        <v>1</v>
      </c>
      <c r="B1" s="685"/>
      <c r="C1" s="685"/>
      <c r="D1" s="686"/>
      <c r="E1" s="130">
        <f>Main!F20</f>
        <v>0</v>
      </c>
      <c r="F1" s="63"/>
      <c r="H1" s="39"/>
      <c r="I1" s="39"/>
      <c r="R1" s="46"/>
    </row>
    <row r="2" spans="1:18" x14ac:dyDescent="0.2">
      <c r="A2" s="101" t="s">
        <v>4</v>
      </c>
      <c r="B2" s="37"/>
      <c r="C2" s="47"/>
      <c r="D2" s="83" t="s">
        <v>174</v>
      </c>
      <c r="E2" s="84">
        <f>config</f>
        <v>0</v>
      </c>
      <c r="R2" s="46"/>
    </row>
    <row r="3" spans="1:18" ht="13.5" thickBot="1" x14ac:dyDescent="0.25">
      <c r="D3" s="83" t="s">
        <v>175</v>
      </c>
      <c r="E3" s="84">
        <f>DBZS</f>
        <v>0</v>
      </c>
      <c r="F3" s="44"/>
      <c r="G3" s="45"/>
      <c r="R3" s="46"/>
    </row>
    <row r="4" spans="1:18" ht="15" x14ac:dyDescent="0.25">
      <c r="A4" s="687" t="s">
        <v>38</v>
      </c>
      <c r="B4" s="687"/>
      <c r="C4" s="687"/>
      <c r="D4" s="687"/>
      <c r="E4" s="64">
        <f>FL</f>
        <v>0</v>
      </c>
      <c r="F4" s="44"/>
      <c r="G4" s="44"/>
      <c r="I4" s="94"/>
      <c r="R4" s="46"/>
    </row>
    <row r="5" spans="1:18" ht="15" x14ac:dyDescent="0.25">
      <c r="A5" s="680" t="s">
        <v>166</v>
      </c>
      <c r="B5" s="681"/>
      <c r="C5" s="681"/>
      <c r="D5" s="682"/>
      <c r="E5" s="68">
        <f>(FL*1000*0.00003+0.575)</f>
        <v>0.57499999999999996</v>
      </c>
      <c r="F5" s="44"/>
      <c r="G5" s="44"/>
      <c r="R5" s="46"/>
    </row>
    <row r="6" spans="1:18" ht="15" x14ac:dyDescent="0.25">
      <c r="A6" s="657" t="s">
        <v>39</v>
      </c>
      <c r="B6" s="657"/>
      <c r="C6" s="657"/>
      <c r="D6" s="657"/>
      <c r="E6" s="128" t="e">
        <f>(E1/SQRT(3))/E4</f>
        <v>#DIV/0!</v>
      </c>
      <c r="F6" s="45"/>
      <c r="G6" s="44"/>
      <c r="N6" s="40"/>
      <c r="R6" s="46"/>
    </row>
    <row r="7" spans="1:18" ht="15" x14ac:dyDescent="0.25">
      <c r="A7" s="680" t="s">
        <v>170</v>
      </c>
      <c r="B7" s="688"/>
      <c r="C7" s="688"/>
      <c r="D7" s="689"/>
      <c r="E7" s="78" t="e">
        <f>IF(DBZS="No",10^10,E13*(1/E5-1))</f>
        <v>#DIV/0!</v>
      </c>
      <c r="F7" s="44"/>
      <c r="G7" s="44"/>
      <c r="I7" s="36" t="e">
        <f>IF(DBZS="No",10^10,E13*(1/E5-1))</f>
        <v>#DIV/0!</v>
      </c>
      <c r="R7" s="46"/>
    </row>
    <row r="8" spans="1:18" ht="15" x14ac:dyDescent="0.25">
      <c r="A8" s="657" t="s">
        <v>100</v>
      </c>
      <c r="B8" s="657"/>
      <c r="C8" s="657"/>
      <c r="D8" s="657"/>
      <c r="E8" s="128" t="e">
        <f>Z_MEN</f>
        <v>#DIV/0!</v>
      </c>
      <c r="F8" s="45"/>
      <c r="G8" s="44"/>
      <c r="I8" s="122"/>
      <c r="N8" s="40"/>
      <c r="R8" s="46"/>
    </row>
    <row r="9" spans="1:18" ht="15" x14ac:dyDescent="0.25">
      <c r="A9" s="680" t="s">
        <v>104</v>
      </c>
      <c r="B9" s="688"/>
      <c r="C9" s="688"/>
      <c r="D9" s="689"/>
      <c r="E9" s="128" t="e">
        <f>HV_grid_res_main</f>
        <v>#DIV/0!</v>
      </c>
      <c r="F9" s="44"/>
      <c r="G9" s="44"/>
      <c r="R9" s="46"/>
    </row>
    <row r="10" spans="1:18" ht="15" x14ac:dyDescent="0.25">
      <c r="A10" s="680" t="s">
        <v>173</v>
      </c>
      <c r="B10" s="688"/>
      <c r="C10" s="688"/>
      <c r="D10" s="689"/>
      <c r="E10" s="128" t="e">
        <f>HV_grid_res_main</f>
        <v>#DIV/0!</v>
      </c>
      <c r="F10" s="44"/>
      <c r="G10" s="44"/>
      <c r="R10" s="46"/>
    </row>
    <row r="11" spans="1:18" ht="15" x14ac:dyDescent="0.25">
      <c r="A11" s="657" t="s">
        <v>105</v>
      </c>
      <c r="B11" s="657"/>
      <c r="C11" s="657"/>
      <c r="D11" s="657"/>
      <c r="E11" s="128" t="e">
        <f>Main!K34</f>
        <v>#DIV/0!</v>
      </c>
      <c r="F11" s="53"/>
      <c r="G11" s="44"/>
      <c r="R11" s="46"/>
    </row>
    <row r="12" spans="1:18" ht="15" x14ac:dyDescent="0.25">
      <c r="A12" s="680" t="s">
        <v>167</v>
      </c>
      <c r="B12" s="681"/>
      <c r="C12" s="681"/>
      <c r="D12" s="682"/>
      <c r="E12" s="128" t="e">
        <f>1/(1/E11+1/E8)</f>
        <v>#DIV/0!</v>
      </c>
      <c r="F12" s="44"/>
      <c r="G12" s="44"/>
      <c r="I12" s="123"/>
      <c r="R12" s="46"/>
    </row>
    <row r="13" spans="1:18" ht="15" x14ac:dyDescent="0.25">
      <c r="A13" s="680" t="s">
        <v>168</v>
      </c>
      <c r="B13" s="688"/>
      <c r="C13" s="688"/>
      <c r="D13" s="689"/>
      <c r="E13" s="128" t="e">
        <f>IF(config = "Common",1/(1/E10+1/E8),E10)</f>
        <v>#DIV/0!</v>
      </c>
      <c r="F13" s="44"/>
      <c r="G13" s="44"/>
      <c r="I13" s="123"/>
      <c r="R13" s="46"/>
    </row>
    <row r="14" spans="1:18" ht="15" x14ac:dyDescent="0.25">
      <c r="A14" s="690" t="s">
        <v>482</v>
      </c>
      <c r="B14" s="681"/>
      <c r="C14" s="681"/>
      <c r="D14" s="682"/>
      <c r="E14" s="81" t="e">
        <f>IF(config ="Common",COMPLEX(E13,E6),IF(DBZS = "Yes",IMSUM(COMPLEX(0,E6),(E13*E7)/(E13+E7)),COMPLEX(E13,E6)))</f>
        <v>#DIV/0!</v>
      </c>
      <c r="F14" s="82"/>
      <c r="G14" s="82"/>
      <c r="H14" s="85" t="e">
        <f>IMABS(E14)</f>
        <v>#DIV/0!</v>
      </c>
      <c r="I14" s="36" t="e">
        <f>I16+I15</f>
        <v>#DIV/0!</v>
      </c>
      <c r="R14" s="46"/>
    </row>
    <row r="15" spans="1:18" ht="15" x14ac:dyDescent="0.25">
      <c r="A15" s="680" t="s">
        <v>169</v>
      </c>
      <c r="B15" s="688"/>
      <c r="C15" s="688"/>
      <c r="D15" s="689"/>
      <c r="E15" s="79" t="e">
        <f>(IMDIV(COMPLEX(1100*E1/SQRT(3),0),E14))</f>
        <v>#DIV/0!</v>
      </c>
      <c r="F15" s="80"/>
      <c r="G15" s="80"/>
      <c r="H15" s="85" t="e">
        <f>IMABS(E15)</f>
        <v>#DIV/0!</v>
      </c>
      <c r="I15" s="42" t="e">
        <f>IMABS(IMDIV(E27,E15))</f>
        <v>#DIV/0!</v>
      </c>
      <c r="R15" s="46"/>
    </row>
    <row r="16" spans="1:18" ht="15" x14ac:dyDescent="0.25">
      <c r="A16" s="683" t="s">
        <v>140</v>
      </c>
      <c r="B16" s="657"/>
      <c r="C16" s="657"/>
      <c r="D16" s="657"/>
      <c r="E16" s="81" t="e">
        <f>IF(OR(DBZS="No",DBZS=""),(IMDIV(1100*E1/SQRT(3),COMPLEX(E13,E6))),IF(config = "Common",IMPRODUCT(IMDIV(1100*E1/SQRT(3),COMPLEX(E13,E6)),(1-E5)),IMDIV(IMSUB(1100*E1/SQRT(3),IMPRODUCT(E15,COMPLEX(0,E6))),E13)))</f>
        <v>#DIV/0!</v>
      </c>
      <c r="F16" s="82"/>
      <c r="G16" s="82"/>
      <c r="H16" s="85" t="e">
        <f>IMABS(E16)</f>
        <v>#DIV/0!</v>
      </c>
      <c r="I16" s="124" t="e">
        <f>IMABS(IMDIV(E16,E15))</f>
        <v>#DIV/0!</v>
      </c>
      <c r="R16" s="46"/>
    </row>
    <row r="17" spans="1:80" ht="15.75" thickBot="1" x14ac:dyDescent="0.3">
      <c r="A17" s="699" t="s">
        <v>106</v>
      </c>
      <c r="B17" s="699"/>
      <c r="C17" s="699"/>
      <c r="D17" s="699"/>
      <c r="E17" s="697" t="e">
        <f>IMPRODUCT(E16,E13)</f>
        <v>#DIV/0!</v>
      </c>
      <c r="F17" s="698"/>
      <c r="G17" s="698"/>
      <c r="H17" s="85" t="e">
        <f>IMABS(E17)</f>
        <v>#DIV/0!</v>
      </c>
      <c r="I17" s="36" t="s">
        <v>49</v>
      </c>
      <c r="R17" s="46"/>
    </row>
    <row r="18" spans="1:80" ht="13.5" thickBot="1" x14ac:dyDescent="0.25">
      <c r="B18" s="35"/>
      <c r="D18" s="35"/>
      <c r="E18" s="35"/>
      <c r="F18" s="45"/>
      <c r="G18" s="44"/>
      <c r="R18" s="46"/>
    </row>
    <row r="19" spans="1:80" ht="15.75" thickBot="1" x14ac:dyDescent="0.3">
      <c r="A19" s="694" t="s">
        <v>172</v>
      </c>
      <c r="B19" s="687"/>
      <c r="C19" s="687"/>
      <c r="D19" s="687"/>
      <c r="E19" s="697" t="e">
        <f>IF(config ="Common",COMPLEX(E6+E13,0),IF(DBZS = "Yes",IMSUM(COMPLEX(E6,0),(E13*E7)/(E13+E7)),IMSUM(COMPLEX(E6,0),E13)))</f>
        <v>#DIV/0!</v>
      </c>
      <c r="F19" s="698"/>
      <c r="G19" s="698"/>
      <c r="H19" s="85" t="e">
        <f>IMABS(E19)</f>
        <v>#DIV/0!</v>
      </c>
      <c r="R19" s="46"/>
    </row>
    <row r="20" spans="1:80" ht="15" x14ac:dyDescent="0.25">
      <c r="A20" s="696" t="s">
        <v>481</v>
      </c>
      <c r="B20" s="687"/>
      <c r="C20" s="687"/>
      <c r="D20" s="687"/>
      <c r="E20" s="64" t="e">
        <f>IMABS(IMDIV(COMPLEX(900*E1/SQRT(3),0),E19))</f>
        <v>#DIV/0!</v>
      </c>
      <c r="F20" s="45" t="s">
        <v>40</v>
      </c>
      <c r="G20" s="45"/>
      <c r="I20" s="36" t="s">
        <v>48</v>
      </c>
      <c r="R20" s="46"/>
    </row>
    <row r="21" spans="1:80" ht="15" x14ac:dyDescent="0.25">
      <c r="A21" s="657" t="s">
        <v>45</v>
      </c>
      <c r="B21" s="657"/>
      <c r="C21" s="657"/>
      <c r="D21" s="657"/>
      <c r="E21" s="128">
        <f>primary_EF_trip</f>
        <v>0</v>
      </c>
      <c r="F21" s="45"/>
      <c r="G21" s="44"/>
      <c r="R21" s="46"/>
    </row>
    <row r="22" spans="1:80" ht="15.75" thickBot="1" x14ac:dyDescent="0.3">
      <c r="A22" s="695" t="s">
        <v>137</v>
      </c>
      <c r="B22" s="695"/>
      <c r="C22" s="695"/>
      <c r="D22" s="695"/>
      <c r="E22" s="129" t="e">
        <f>1000*0.9*E1/SQRT(3)/SUM(E6,E11)</f>
        <v>#DIV/0!</v>
      </c>
      <c r="F22" s="45"/>
      <c r="G22" s="44"/>
      <c r="R22" s="46"/>
    </row>
    <row r="23" spans="1:80" ht="13.5" thickBot="1" x14ac:dyDescent="0.25">
      <c r="G23" s="39"/>
      <c r="H23" s="38"/>
      <c r="R23" s="46"/>
    </row>
    <row r="24" spans="1:80" ht="15.75" thickBot="1" x14ac:dyDescent="0.3">
      <c r="A24" s="691" t="s">
        <v>176</v>
      </c>
      <c r="B24" s="692"/>
      <c r="C24" s="692"/>
      <c r="D24" s="693"/>
      <c r="E24" s="87" t="e">
        <f>IMABS(F24)</f>
        <v>#DIV/0!</v>
      </c>
      <c r="F24" s="700" t="e">
        <f xml:space="preserve"> IMDIV(E17,E9)</f>
        <v>#DIV/0!</v>
      </c>
      <c r="G24" s="701"/>
      <c r="H24" s="702"/>
    </row>
    <row r="25" spans="1:80" ht="15.75" thickBot="1" x14ac:dyDescent="0.3">
      <c r="A25" s="706" t="s">
        <v>177</v>
      </c>
      <c r="B25" s="707"/>
      <c r="C25" s="707"/>
      <c r="D25" s="707"/>
      <c r="E25" s="87" t="e">
        <f>IMABS(F25)</f>
        <v>#DIV/0!</v>
      </c>
      <c r="F25" s="705" t="e">
        <f xml:space="preserve"> IMDIV(E17,E10)</f>
        <v>#DIV/0!</v>
      </c>
      <c r="G25" s="705"/>
      <c r="H25" s="705"/>
    </row>
    <row r="26" spans="1:80" ht="15.75" thickBot="1" x14ac:dyDescent="0.3">
      <c r="A26" s="707" t="s">
        <v>107</v>
      </c>
      <c r="B26" s="707"/>
      <c r="C26" s="707"/>
      <c r="D26" s="707"/>
      <c r="E26" s="705">
        <f>IF(config = "Common",IMDIV(E17,E8),0)</f>
        <v>0</v>
      </c>
      <c r="F26" s="705"/>
      <c r="G26" s="705"/>
      <c r="H26" s="86">
        <f>IMABS(E26)</f>
        <v>0</v>
      </c>
    </row>
    <row r="27" spans="1:80" ht="15.75" thickBot="1" x14ac:dyDescent="0.3">
      <c r="A27" s="706" t="s">
        <v>139</v>
      </c>
      <c r="B27" s="707"/>
      <c r="C27" s="707"/>
      <c r="D27" s="707"/>
      <c r="E27" s="705">
        <f>IF(OR(DBZS="No",DBZS=""),0,IMDIV(E17,E7))</f>
        <v>0</v>
      </c>
      <c r="F27" s="705"/>
      <c r="G27" s="705"/>
      <c r="H27" s="86">
        <f>IMABS(E27)</f>
        <v>0</v>
      </c>
    </row>
    <row r="28" spans="1:80" x14ac:dyDescent="0.2">
      <c r="G28" s="41"/>
    </row>
    <row r="29" spans="1:80" ht="15" x14ac:dyDescent="0.25">
      <c r="A29" s="703" t="s">
        <v>327</v>
      </c>
      <c r="B29" s="703"/>
      <c r="C29" s="703"/>
      <c r="D29" s="703"/>
      <c r="G29" s="704" t="s">
        <v>328</v>
      </c>
      <c r="H29" s="704"/>
      <c r="I29" s="704"/>
    </row>
    <row r="30" spans="1:80" ht="15" x14ac:dyDescent="0.25">
      <c r="A30" s="111">
        <f>ROW(A31)</f>
        <v>31</v>
      </c>
      <c r="B30" s="108"/>
      <c r="C30" s="108"/>
      <c r="D30" s="108"/>
      <c r="E30" s="109"/>
      <c r="F30" s="109"/>
      <c r="G30" s="110"/>
      <c r="H30" s="110"/>
      <c r="I30" s="110"/>
    </row>
    <row r="31" spans="1:80" x14ac:dyDescent="0.2">
      <c r="A31" s="102">
        <v>0</v>
      </c>
      <c r="B31" s="35" t="e">
        <f ca="1">EPR_calc(A31)</f>
        <v>#VALUE!</v>
      </c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</row>
    <row r="32" spans="1:80" x14ac:dyDescent="0.2">
      <c r="A32" s="102">
        <v>0.5</v>
      </c>
      <c r="B32" s="35" t="e">
        <f ca="1">EPR_calc(A32)</f>
        <v>#VALUE!</v>
      </c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</row>
    <row r="33" spans="1:80" x14ac:dyDescent="0.2">
      <c r="A33" s="102">
        <v>1</v>
      </c>
      <c r="B33" s="35" t="e">
        <f ca="1">EPR_calc(A33)</f>
        <v>#VALUE!</v>
      </c>
      <c r="C33" s="35" t="e">
        <f ca="1">B31-B33</f>
        <v>#VALUE!</v>
      </c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</row>
    <row r="34" spans="1:80" x14ac:dyDescent="0.2">
      <c r="A34" s="102">
        <v>1.5</v>
      </c>
      <c r="B34" s="35" t="e">
        <f t="shared" ref="B34:B96" ca="1" si="0">EPR_calc(A34)</f>
        <v>#VALUE!</v>
      </c>
      <c r="C34" s="35" t="e">
        <f t="shared" ref="C34:C71" ca="1" si="1">B32-B34</f>
        <v>#VALUE!</v>
      </c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</row>
    <row r="35" spans="1:80" x14ac:dyDescent="0.2">
      <c r="A35" s="102">
        <v>2</v>
      </c>
      <c r="B35" s="35" t="e">
        <f t="shared" ca="1" si="0"/>
        <v>#VALUE!</v>
      </c>
      <c r="C35" s="35" t="e">
        <f t="shared" ca="1" si="1"/>
        <v>#VALUE!</v>
      </c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</row>
    <row r="36" spans="1:80" x14ac:dyDescent="0.2">
      <c r="A36" s="102">
        <v>2.5</v>
      </c>
      <c r="B36" s="35" t="e">
        <f t="shared" ca="1" si="0"/>
        <v>#VALUE!</v>
      </c>
      <c r="C36" s="35" t="e">
        <f t="shared" ca="1" si="1"/>
        <v>#VALUE!</v>
      </c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</row>
    <row r="37" spans="1:80" x14ac:dyDescent="0.2">
      <c r="A37" s="102">
        <v>3</v>
      </c>
      <c r="B37" s="35" t="e">
        <f t="shared" ca="1" si="0"/>
        <v>#VALUE!</v>
      </c>
      <c r="C37" s="35" t="e">
        <f t="shared" ca="1" si="1"/>
        <v>#VALUE!</v>
      </c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</row>
    <row r="38" spans="1:80" x14ac:dyDescent="0.2">
      <c r="A38" s="102">
        <v>3.5</v>
      </c>
      <c r="B38" s="35" t="e">
        <f t="shared" ca="1" si="0"/>
        <v>#VALUE!</v>
      </c>
      <c r="C38" s="35" t="e">
        <f t="shared" ca="1" si="1"/>
        <v>#VALUE!</v>
      </c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</row>
    <row r="39" spans="1:80" x14ac:dyDescent="0.2">
      <c r="A39" s="102">
        <v>4</v>
      </c>
      <c r="B39" s="35" t="e">
        <f t="shared" ca="1" si="0"/>
        <v>#VALUE!</v>
      </c>
      <c r="C39" s="35" t="e">
        <f t="shared" ca="1" si="1"/>
        <v>#VALUE!</v>
      </c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</row>
    <row r="40" spans="1:80" x14ac:dyDescent="0.2">
      <c r="A40" s="102">
        <v>4.5</v>
      </c>
      <c r="B40" s="35" t="e">
        <f t="shared" ca="1" si="0"/>
        <v>#VALUE!</v>
      </c>
      <c r="C40" s="35" t="e">
        <f t="shared" ca="1" si="1"/>
        <v>#VALUE!</v>
      </c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</row>
    <row r="41" spans="1:80" x14ac:dyDescent="0.2">
      <c r="A41" s="102">
        <v>5</v>
      </c>
      <c r="B41" s="35" t="e">
        <f t="shared" ca="1" si="0"/>
        <v>#VALUE!</v>
      </c>
      <c r="C41" s="35" t="e">
        <f t="shared" ca="1" si="1"/>
        <v>#VALUE!</v>
      </c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</row>
    <row r="42" spans="1:80" x14ac:dyDescent="0.2">
      <c r="A42" s="102">
        <v>5.5</v>
      </c>
      <c r="B42" s="35" t="e">
        <f t="shared" ca="1" si="0"/>
        <v>#VALUE!</v>
      </c>
      <c r="C42" s="35" t="e">
        <f t="shared" ca="1" si="1"/>
        <v>#VALUE!</v>
      </c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</row>
    <row r="43" spans="1:80" x14ac:dyDescent="0.2">
      <c r="A43" s="102">
        <v>6</v>
      </c>
      <c r="B43" s="35" t="e">
        <f t="shared" ca="1" si="0"/>
        <v>#VALUE!</v>
      </c>
      <c r="C43" s="35" t="e">
        <f t="shared" ca="1" si="1"/>
        <v>#VALUE!</v>
      </c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</row>
    <row r="44" spans="1:80" x14ac:dyDescent="0.2">
      <c r="A44" s="102">
        <v>6.5</v>
      </c>
      <c r="B44" s="35" t="e">
        <f t="shared" ca="1" si="0"/>
        <v>#VALUE!</v>
      </c>
      <c r="C44" s="35" t="e">
        <f t="shared" ca="1" si="1"/>
        <v>#VALUE!</v>
      </c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</row>
    <row r="45" spans="1:80" x14ac:dyDescent="0.2">
      <c r="A45" s="102">
        <v>7</v>
      </c>
      <c r="B45" s="35" t="e">
        <f t="shared" ca="1" si="0"/>
        <v>#VALUE!</v>
      </c>
      <c r="C45" s="35" t="e">
        <f t="shared" ca="1" si="1"/>
        <v>#VALUE!</v>
      </c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</row>
    <row r="46" spans="1:80" x14ac:dyDescent="0.2">
      <c r="A46" s="102">
        <v>7.5</v>
      </c>
      <c r="B46" s="35" t="e">
        <f t="shared" ca="1" si="0"/>
        <v>#VALUE!</v>
      </c>
      <c r="C46" s="35" t="e">
        <f t="shared" ca="1" si="1"/>
        <v>#VALUE!</v>
      </c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</row>
    <row r="47" spans="1:80" x14ac:dyDescent="0.2">
      <c r="A47" s="102">
        <v>8</v>
      </c>
      <c r="B47" s="35" t="e">
        <f t="shared" ca="1" si="0"/>
        <v>#VALUE!</v>
      </c>
      <c r="C47" s="35" t="e">
        <f t="shared" ca="1" si="1"/>
        <v>#VALUE!</v>
      </c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</row>
    <row r="48" spans="1:80" x14ac:dyDescent="0.2">
      <c r="A48" s="102">
        <v>8.5</v>
      </c>
      <c r="B48" s="35" t="e">
        <f t="shared" ca="1" si="0"/>
        <v>#VALUE!</v>
      </c>
      <c r="C48" s="35" t="e">
        <f t="shared" ca="1" si="1"/>
        <v>#VALUE!</v>
      </c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</row>
    <row r="49" spans="1:80" x14ac:dyDescent="0.2">
      <c r="A49" s="102">
        <v>9</v>
      </c>
      <c r="B49" s="35" t="e">
        <f t="shared" ca="1" si="0"/>
        <v>#VALUE!</v>
      </c>
      <c r="C49" s="35" t="e">
        <f t="shared" ca="1" si="1"/>
        <v>#VALUE!</v>
      </c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</row>
    <row r="50" spans="1:80" x14ac:dyDescent="0.2">
      <c r="A50" s="102">
        <v>9.5</v>
      </c>
      <c r="B50" s="35" t="e">
        <f t="shared" ca="1" si="0"/>
        <v>#VALUE!</v>
      </c>
      <c r="C50" s="35" t="e">
        <f t="shared" ca="1" si="1"/>
        <v>#VALUE!</v>
      </c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</row>
    <row r="51" spans="1:80" x14ac:dyDescent="0.2">
      <c r="A51" s="102">
        <v>10</v>
      </c>
      <c r="B51" s="35" t="e">
        <f t="shared" ca="1" si="0"/>
        <v>#VALUE!</v>
      </c>
      <c r="C51" s="35" t="e">
        <f t="shared" ca="1" si="1"/>
        <v>#VALUE!</v>
      </c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</row>
    <row r="52" spans="1:80" x14ac:dyDescent="0.2">
      <c r="A52" s="102">
        <v>10.5</v>
      </c>
      <c r="B52" s="35" t="e">
        <f t="shared" ca="1" si="0"/>
        <v>#VALUE!</v>
      </c>
      <c r="C52" s="35" t="e">
        <f t="shared" ca="1" si="1"/>
        <v>#VALUE!</v>
      </c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</row>
    <row r="53" spans="1:80" x14ac:dyDescent="0.2">
      <c r="A53" s="102">
        <v>11</v>
      </c>
      <c r="B53" s="35" t="e">
        <f t="shared" ca="1" si="0"/>
        <v>#VALUE!</v>
      </c>
      <c r="C53" s="35" t="e">
        <f t="shared" ca="1" si="1"/>
        <v>#VALUE!</v>
      </c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</row>
    <row r="54" spans="1:80" x14ac:dyDescent="0.2">
      <c r="A54" s="102">
        <v>11.5</v>
      </c>
      <c r="B54" s="35" t="e">
        <f t="shared" ca="1" si="0"/>
        <v>#VALUE!</v>
      </c>
      <c r="C54" s="35" t="e">
        <f t="shared" ca="1" si="1"/>
        <v>#VALUE!</v>
      </c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</row>
    <row r="55" spans="1:80" x14ac:dyDescent="0.2">
      <c r="A55" s="102">
        <v>12</v>
      </c>
      <c r="B55" s="35" t="e">
        <f t="shared" ca="1" si="0"/>
        <v>#VALUE!</v>
      </c>
      <c r="C55" s="35" t="e">
        <f t="shared" ca="1" si="1"/>
        <v>#VALUE!</v>
      </c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</row>
    <row r="56" spans="1:80" x14ac:dyDescent="0.2">
      <c r="A56" s="102">
        <v>12.5</v>
      </c>
      <c r="B56" s="35" t="e">
        <f t="shared" ca="1" si="0"/>
        <v>#VALUE!</v>
      </c>
      <c r="C56" s="35" t="e">
        <f t="shared" ca="1" si="1"/>
        <v>#VALUE!</v>
      </c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</row>
    <row r="57" spans="1:80" x14ac:dyDescent="0.2">
      <c r="A57" s="102">
        <v>13</v>
      </c>
      <c r="B57" s="35" t="e">
        <f t="shared" ca="1" si="0"/>
        <v>#VALUE!</v>
      </c>
      <c r="C57" s="35" t="e">
        <f t="shared" ca="1" si="1"/>
        <v>#VALUE!</v>
      </c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</row>
    <row r="58" spans="1:80" x14ac:dyDescent="0.2">
      <c r="A58" s="102">
        <v>13.5</v>
      </c>
      <c r="B58" s="35" t="e">
        <f t="shared" ca="1" si="0"/>
        <v>#VALUE!</v>
      </c>
      <c r="C58" s="35" t="e">
        <f t="shared" ca="1" si="1"/>
        <v>#VALUE!</v>
      </c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</row>
    <row r="59" spans="1:80" x14ac:dyDescent="0.2">
      <c r="A59" s="102">
        <v>14</v>
      </c>
      <c r="B59" s="35" t="e">
        <f t="shared" ca="1" si="0"/>
        <v>#VALUE!</v>
      </c>
      <c r="C59" s="35" t="e">
        <f t="shared" ca="1" si="1"/>
        <v>#VALUE!</v>
      </c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</row>
    <row r="60" spans="1:80" x14ac:dyDescent="0.2">
      <c r="A60" s="102">
        <v>14.5</v>
      </c>
      <c r="B60" s="35" t="e">
        <f t="shared" ca="1" si="0"/>
        <v>#VALUE!</v>
      </c>
      <c r="C60" s="35" t="e">
        <f t="shared" ca="1" si="1"/>
        <v>#VALUE!</v>
      </c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</row>
    <row r="61" spans="1:80" x14ac:dyDescent="0.2">
      <c r="A61" s="102">
        <v>15</v>
      </c>
      <c r="B61" s="35" t="e">
        <f t="shared" ca="1" si="0"/>
        <v>#VALUE!</v>
      </c>
      <c r="C61" s="35" t="e">
        <f t="shared" ca="1" si="1"/>
        <v>#VALUE!</v>
      </c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</row>
    <row r="62" spans="1:80" x14ac:dyDescent="0.2">
      <c r="A62" s="102">
        <v>15.5</v>
      </c>
      <c r="B62" s="35" t="e">
        <f t="shared" ca="1" si="0"/>
        <v>#VALUE!</v>
      </c>
      <c r="C62" s="35" t="e">
        <f t="shared" ca="1" si="1"/>
        <v>#VALUE!</v>
      </c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</row>
    <row r="63" spans="1:80" x14ac:dyDescent="0.2">
      <c r="A63" s="102">
        <v>16</v>
      </c>
      <c r="B63" s="35" t="e">
        <f t="shared" ca="1" si="0"/>
        <v>#VALUE!</v>
      </c>
      <c r="C63" s="35" t="e">
        <f t="shared" ca="1" si="1"/>
        <v>#VALUE!</v>
      </c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</row>
    <row r="64" spans="1:80" x14ac:dyDescent="0.2">
      <c r="A64" s="102">
        <v>16.5</v>
      </c>
      <c r="B64" s="35" t="e">
        <f t="shared" ca="1" si="0"/>
        <v>#VALUE!</v>
      </c>
      <c r="C64" s="35" t="e">
        <f t="shared" ca="1" si="1"/>
        <v>#VALUE!</v>
      </c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</row>
    <row r="65" spans="1:80" x14ac:dyDescent="0.2">
      <c r="A65" s="102">
        <v>17</v>
      </c>
      <c r="B65" s="35" t="e">
        <f t="shared" ca="1" si="0"/>
        <v>#VALUE!</v>
      </c>
      <c r="C65" s="35" t="e">
        <f t="shared" ca="1" si="1"/>
        <v>#VALUE!</v>
      </c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</row>
    <row r="66" spans="1:80" x14ac:dyDescent="0.2">
      <c r="A66" s="102">
        <v>17.5</v>
      </c>
      <c r="B66" s="35" t="e">
        <f t="shared" ca="1" si="0"/>
        <v>#VALUE!</v>
      </c>
      <c r="C66" s="35" t="e">
        <f t="shared" ca="1" si="1"/>
        <v>#VALUE!</v>
      </c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</row>
    <row r="67" spans="1:80" x14ac:dyDescent="0.2">
      <c r="A67" s="102">
        <v>18</v>
      </c>
      <c r="B67" s="35" t="e">
        <f t="shared" ca="1" si="0"/>
        <v>#VALUE!</v>
      </c>
      <c r="C67" s="35" t="e">
        <f t="shared" ca="1" si="1"/>
        <v>#VALUE!</v>
      </c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</row>
    <row r="68" spans="1:80" x14ac:dyDescent="0.2">
      <c r="A68" s="102">
        <v>18.5</v>
      </c>
      <c r="B68" s="35" t="e">
        <f t="shared" ca="1" si="0"/>
        <v>#VALUE!</v>
      </c>
      <c r="C68" s="35" t="e">
        <f t="shared" ca="1" si="1"/>
        <v>#VALUE!</v>
      </c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</row>
    <row r="69" spans="1:80" x14ac:dyDescent="0.2">
      <c r="A69" s="102">
        <v>19</v>
      </c>
      <c r="B69" s="35" t="e">
        <f t="shared" ca="1" si="0"/>
        <v>#VALUE!</v>
      </c>
      <c r="C69" s="35" t="e">
        <f t="shared" ca="1" si="1"/>
        <v>#VALUE!</v>
      </c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</row>
    <row r="70" spans="1:80" x14ac:dyDescent="0.2">
      <c r="A70" s="102">
        <v>19.5</v>
      </c>
      <c r="B70" s="35" t="e">
        <f t="shared" ca="1" si="0"/>
        <v>#VALUE!</v>
      </c>
      <c r="C70" s="35" t="e">
        <f t="shared" ca="1" si="1"/>
        <v>#VALUE!</v>
      </c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</row>
    <row r="71" spans="1:80" x14ac:dyDescent="0.2">
      <c r="A71" s="102">
        <v>20</v>
      </c>
      <c r="B71" s="35" t="e">
        <f t="shared" ca="1" si="0"/>
        <v>#VALUE!</v>
      </c>
      <c r="C71" s="35" t="e">
        <f t="shared" ca="1" si="1"/>
        <v>#VALUE!</v>
      </c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</row>
    <row r="72" spans="1:80" x14ac:dyDescent="0.2">
      <c r="A72" s="102">
        <v>20.5</v>
      </c>
      <c r="B72" s="35" t="e">
        <f t="shared" ca="1" si="0"/>
        <v>#VALUE!</v>
      </c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</row>
    <row r="73" spans="1:80" x14ac:dyDescent="0.2">
      <c r="A73" s="102">
        <v>21</v>
      </c>
      <c r="B73" s="35" t="e">
        <f t="shared" ca="1" si="0"/>
        <v>#VALUE!</v>
      </c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</row>
    <row r="74" spans="1:80" x14ac:dyDescent="0.2">
      <c r="A74" s="102">
        <v>21.5</v>
      </c>
      <c r="B74" s="35" t="e">
        <f t="shared" ca="1" si="0"/>
        <v>#VALUE!</v>
      </c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</row>
    <row r="75" spans="1:80" x14ac:dyDescent="0.2">
      <c r="A75" s="102">
        <v>22</v>
      </c>
      <c r="B75" s="35" t="e">
        <f t="shared" ca="1" si="0"/>
        <v>#VALUE!</v>
      </c>
      <c r="C75" s="35"/>
      <c r="D75" s="35"/>
      <c r="E75" s="43"/>
    </row>
    <row r="76" spans="1:80" x14ac:dyDescent="0.2">
      <c r="A76" s="102">
        <v>22.5</v>
      </c>
      <c r="B76" s="35" t="e">
        <f t="shared" ca="1" si="0"/>
        <v>#VALUE!</v>
      </c>
      <c r="C76" s="35"/>
      <c r="D76" s="35"/>
      <c r="E76" s="43"/>
    </row>
    <row r="77" spans="1:80" x14ac:dyDescent="0.2">
      <c r="A77" s="102">
        <v>23</v>
      </c>
      <c r="B77" s="35" t="e">
        <f t="shared" ca="1" si="0"/>
        <v>#VALUE!</v>
      </c>
      <c r="C77" s="35"/>
      <c r="D77" s="35"/>
    </row>
    <row r="78" spans="1:80" x14ac:dyDescent="0.2">
      <c r="A78" s="102">
        <v>23.5</v>
      </c>
      <c r="B78" s="35" t="e">
        <f t="shared" ca="1" si="0"/>
        <v>#VALUE!</v>
      </c>
      <c r="C78" s="35"/>
      <c r="D78" s="35"/>
    </row>
    <row r="79" spans="1:80" x14ac:dyDescent="0.2">
      <c r="A79" s="102">
        <v>24</v>
      </c>
      <c r="B79" s="35" t="e">
        <f t="shared" ca="1" si="0"/>
        <v>#VALUE!</v>
      </c>
      <c r="C79" s="35"/>
      <c r="D79" s="35"/>
    </row>
    <row r="80" spans="1:80" x14ac:dyDescent="0.2">
      <c r="A80" s="102">
        <v>24.5</v>
      </c>
      <c r="B80" s="35" t="e">
        <f t="shared" ca="1" si="0"/>
        <v>#VALUE!</v>
      </c>
      <c r="C80" s="35"/>
      <c r="D80" s="35"/>
    </row>
    <row r="81" spans="1:9" x14ac:dyDescent="0.2">
      <c r="A81" s="102">
        <v>25</v>
      </c>
      <c r="B81" s="35" t="e">
        <f t="shared" ca="1" si="0"/>
        <v>#VALUE!</v>
      </c>
      <c r="C81" s="35"/>
      <c r="D81" s="35"/>
    </row>
    <row r="82" spans="1:9" x14ac:dyDescent="0.2">
      <c r="A82" s="102">
        <v>25.5</v>
      </c>
      <c r="B82" s="35" t="e">
        <f t="shared" ca="1" si="0"/>
        <v>#VALUE!</v>
      </c>
      <c r="C82" s="35"/>
      <c r="D82" s="35"/>
    </row>
    <row r="83" spans="1:9" x14ac:dyDescent="0.2">
      <c r="A83" s="102">
        <v>26</v>
      </c>
      <c r="B83" s="35" t="e">
        <f t="shared" ca="1" si="0"/>
        <v>#VALUE!</v>
      </c>
      <c r="C83" s="35"/>
      <c r="D83" s="35"/>
    </row>
    <row r="84" spans="1:9" x14ac:dyDescent="0.2">
      <c r="A84" s="102">
        <v>26.5</v>
      </c>
      <c r="B84" s="35" t="e">
        <f t="shared" ca="1" si="0"/>
        <v>#VALUE!</v>
      </c>
      <c r="C84" s="35"/>
      <c r="D84" s="35"/>
    </row>
    <row r="85" spans="1:9" x14ac:dyDescent="0.2">
      <c r="A85" s="102">
        <v>27</v>
      </c>
      <c r="B85" s="35" t="e">
        <f t="shared" ca="1" si="0"/>
        <v>#VALUE!</v>
      </c>
      <c r="C85" s="35"/>
      <c r="D85" s="35"/>
    </row>
    <row r="86" spans="1:9" x14ac:dyDescent="0.2">
      <c r="A86" s="102">
        <v>27.5</v>
      </c>
      <c r="B86" s="35" t="e">
        <f t="shared" ca="1" si="0"/>
        <v>#VALUE!</v>
      </c>
      <c r="C86" s="35"/>
      <c r="D86" s="35"/>
    </row>
    <row r="87" spans="1:9" x14ac:dyDescent="0.2">
      <c r="A87" s="102">
        <v>28</v>
      </c>
      <c r="B87" s="35" t="e">
        <f t="shared" ca="1" si="0"/>
        <v>#VALUE!</v>
      </c>
      <c r="C87" s="35"/>
      <c r="D87" s="35"/>
    </row>
    <row r="88" spans="1:9" x14ac:dyDescent="0.2">
      <c r="A88" s="102">
        <v>28.5</v>
      </c>
      <c r="B88" s="35" t="e">
        <f t="shared" ca="1" si="0"/>
        <v>#VALUE!</v>
      </c>
      <c r="C88" s="35"/>
      <c r="D88" s="35"/>
    </row>
    <row r="89" spans="1:9" x14ac:dyDescent="0.2">
      <c r="A89" s="102">
        <v>29</v>
      </c>
      <c r="B89" s="35" t="e">
        <f t="shared" ca="1" si="0"/>
        <v>#VALUE!</v>
      </c>
      <c r="C89" s="35"/>
      <c r="D89" s="35"/>
    </row>
    <row r="90" spans="1:9" x14ac:dyDescent="0.2">
      <c r="A90" s="102">
        <v>29.5</v>
      </c>
      <c r="B90" s="35" t="e">
        <f t="shared" ca="1" si="0"/>
        <v>#VALUE!</v>
      </c>
      <c r="C90" s="35"/>
      <c r="D90" s="35"/>
      <c r="I90" s="42"/>
    </row>
    <row r="91" spans="1:9" x14ac:dyDescent="0.2">
      <c r="A91" s="102">
        <v>30</v>
      </c>
      <c r="B91" s="35" t="e">
        <f t="shared" ca="1" si="0"/>
        <v>#VALUE!</v>
      </c>
      <c r="C91" s="35"/>
      <c r="D91" s="35"/>
    </row>
    <row r="92" spans="1:9" x14ac:dyDescent="0.2">
      <c r="A92" s="102">
        <v>30.5</v>
      </c>
      <c r="B92" s="35" t="e">
        <f t="shared" ca="1" si="0"/>
        <v>#VALUE!</v>
      </c>
      <c r="C92" s="35"/>
      <c r="D92" s="35"/>
    </row>
    <row r="93" spans="1:9" x14ac:dyDescent="0.2">
      <c r="A93" s="102">
        <v>31</v>
      </c>
      <c r="B93" s="35" t="e">
        <f t="shared" ca="1" si="0"/>
        <v>#VALUE!</v>
      </c>
      <c r="C93" s="35"/>
      <c r="D93" s="35"/>
    </row>
    <row r="94" spans="1:9" x14ac:dyDescent="0.2">
      <c r="A94" s="102">
        <v>31.5</v>
      </c>
      <c r="B94" s="35" t="e">
        <f t="shared" ca="1" si="0"/>
        <v>#VALUE!</v>
      </c>
      <c r="C94" s="35"/>
      <c r="D94" s="35"/>
    </row>
    <row r="95" spans="1:9" x14ac:dyDescent="0.2">
      <c r="A95" s="102">
        <v>32</v>
      </c>
      <c r="B95" s="35" t="e">
        <f t="shared" ca="1" si="0"/>
        <v>#VALUE!</v>
      </c>
      <c r="C95" s="35"/>
      <c r="D95" s="35"/>
    </row>
    <row r="96" spans="1:9" x14ac:dyDescent="0.2">
      <c r="A96" s="102">
        <v>32.5</v>
      </c>
      <c r="B96" s="35" t="e">
        <f t="shared" ca="1" si="0"/>
        <v>#VALUE!</v>
      </c>
      <c r="C96" s="35"/>
      <c r="D96" s="35"/>
    </row>
    <row r="97" spans="1:4" x14ac:dyDescent="0.2">
      <c r="A97" s="102">
        <v>33</v>
      </c>
      <c r="B97" s="35" t="e">
        <f t="shared" ref="B97:B160" ca="1" si="2">EPR_calc(A97)</f>
        <v>#VALUE!</v>
      </c>
      <c r="C97" s="35"/>
      <c r="D97" s="35"/>
    </row>
    <row r="98" spans="1:4" x14ac:dyDescent="0.2">
      <c r="A98" s="102">
        <v>33.5</v>
      </c>
      <c r="B98" s="35" t="e">
        <f t="shared" ca="1" si="2"/>
        <v>#VALUE!</v>
      </c>
      <c r="C98" s="35"/>
      <c r="D98" s="35"/>
    </row>
    <row r="99" spans="1:4" x14ac:dyDescent="0.2">
      <c r="A99" s="102">
        <v>34</v>
      </c>
      <c r="B99" s="35" t="e">
        <f t="shared" ca="1" si="2"/>
        <v>#VALUE!</v>
      </c>
      <c r="C99" s="35"/>
      <c r="D99" s="35"/>
    </row>
    <row r="100" spans="1:4" x14ac:dyDescent="0.2">
      <c r="A100" s="102">
        <v>34.5</v>
      </c>
      <c r="B100" s="35" t="e">
        <f t="shared" ca="1" si="2"/>
        <v>#VALUE!</v>
      </c>
      <c r="C100" s="35"/>
      <c r="D100" s="35"/>
    </row>
    <row r="101" spans="1:4" x14ac:dyDescent="0.2">
      <c r="A101" s="102">
        <v>35</v>
      </c>
      <c r="B101" s="35" t="e">
        <f t="shared" ca="1" si="2"/>
        <v>#VALUE!</v>
      </c>
      <c r="C101" s="35"/>
      <c r="D101" s="35"/>
    </row>
    <row r="102" spans="1:4" x14ac:dyDescent="0.2">
      <c r="A102" s="102">
        <v>35.5</v>
      </c>
      <c r="B102" s="35" t="e">
        <f t="shared" ca="1" si="2"/>
        <v>#VALUE!</v>
      </c>
      <c r="C102" s="35"/>
      <c r="D102" s="35"/>
    </row>
    <row r="103" spans="1:4" x14ac:dyDescent="0.2">
      <c r="A103" s="102">
        <v>36</v>
      </c>
      <c r="B103" s="35" t="e">
        <f t="shared" ca="1" si="2"/>
        <v>#VALUE!</v>
      </c>
      <c r="C103" s="35"/>
      <c r="D103" s="35"/>
    </row>
    <row r="104" spans="1:4" x14ac:dyDescent="0.2">
      <c r="A104" s="102">
        <v>36.5</v>
      </c>
      <c r="B104" s="35" t="e">
        <f t="shared" ca="1" si="2"/>
        <v>#VALUE!</v>
      </c>
      <c r="C104" s="35"/>
      <c r="D104" s="35"/>
    </row>
    <row r="105" spans="1:4" x14ac:dyDescent="0.2">
      <c r="A105" s="102">
        <v>37</v>
      </c>
      <c r="B105" s="35" t="e">
        <f t="shared" ca="1" si="2"/>
        <v>#VALUE!</v>
      </c>
      <c r="C105" s="35"/>
      <c r="D105" s="35"/>
    </row>
    <row r="106" spans="1:4" x14ac:dyDescent="0.2">
      <c r="A106" s="102">
        <v>37.5</v>
      </c>
      <c r="B106" s="35" t="e">
        <f t="shared" ca="1" si="2"/>
        <v>#VALUE!</v>
      </c>
      <c r="C106" s="35"/>
      <c r="D106" s="35"/>
    </row>
    <row r="107" spans="1:4" x14ac:dyDescent="0.2">
      <c r="A107" s="102">
        <v>38</v>
      </c>
      <c r="B107" s="35" t="e">
        <f t="shared" ca="1" si="2"/>
        <v>#VALUE!</v>
      </c>
      <c r="C107" s="35"/>
      <c r="D107" s="35"/>
    </row>
    <row r="108" spans="1:4" x14ac:dyDescent="0.2">
      <c r="A108" s="102">
        <v>38.5</v>
      </c>
      <c r="B108" s="35" t="e">
        <f t="shared" ca="1" si="2"/>
        <v>#VALUE!</v>
      </c>
      <c r="C108" s="35"/>
      <c r="D108" s="35"/>
    </row>
    <row r="109" spans="1:4" x14ac:dyDescent="0.2">
      <c r="A109" s="102">
        <v>39</v>
      </c>
      <c r="B109" s="35" t="e">
        <f t="shared" ca="1" si="2"/>
        <v>#VALUE!</v>
      </c>
      <c r="C109" s="35"/>
      <c r="D109" s="35"/>
    </row>
    <row r="110" spans="1:4" x14ac:dyDescent="0.2">
      <c r="A110" s="102">
        <v>39.5</v>
      </c>
      <c r="B110" s="35" t="e">
        <f t="shared" ca="1" si="2"/>
        <v>#VALUE!</v>
      </c>
      <c r="C110" s="35"/>
      <c r="D110" s="35"/>
    </row>
    <row r="111" spans="1:4" x14ac:dyDescent="0.2">
      <c r="A111" s="102">
        <v>40</v>
      </c>
      <c r="B111" s="35" t="e">
        <f t="shared" ca="1" si="2"/>
        <v>#VALUE!</v>
      </c>
      <c r="C111" s="35"/>
      <c r="D111" s="35"/>
    </row>
    <row r="112" spans="1:4" x14ac:dyDescent="0.2">
      <c r="A112" s="102">
        <v>40.5</v>
      </c>
      <c r="B112" s="35" t="e">
        <f t="shared" ca="1" si="2"/>
        <v>#VALUE!</v>
      </c>
      <c r="C112" s="35"/>
      <c r="D112" s="35"/>
    </row>
    <row r="113" spans="1:4" x14ac:dyDescent="0.2">
      <c r="A113" s="102">
        <v>41</v>
      </c>
      <c r="B113" s="35" t="e">
        <f t="shared" ca="1" si="2"/>
        <v>#VALUE!</v>
      </c>
      <c r="C113" s="35"/>
      <c r="D113" s="35"/>
    </row>
    <row r="114" spans="1:4" x14ac:dyDescent="0.2">
      <c r="A114" s="102">
        <v>41.5</v>
      </c>
      <c r="B114" s="35" t="e">
        <f t="shared" ca="1" si="2"/>
        <v>#VALUE!</v>
      </c>
      <c r="C114" s="35"/>
      <c r="D114" s="35"/>
    </row>
    <row r="115" spans="1:4" x14ac:dyDescent="0.2">
      <c r="A115" s="102">
        <v>42</v>
      </c>
      <c r="B115" s="35" t="e">
        <f t="shared" ca="1" si="2"/>
        <v>#VALUE!</v>
      </c>
      <c r="C115" s="35"/>
      <c r="D115" s="35"/>
    </row>
    <row r="116" spans="1:4" x14ac:dyDescent="0.2">
      <c r="A116" s="102">
        <v>42.5</v>
      </c>
      <c r="B116" s="35" t="e">
        <f t="shared" ca="1" si="2"/>
        <v>#VALUE!</v>
      </c>
      <c r="C116" s="35"/>
      <c r="D116" s="35"/>
    </row>
    <row r="117" spans="1:4" x14ac:dyDescent="0.2">
      <c r="A117" s="102">
        <v>43</v>
      </c>
      <c r="B117" s="35" t="e">
        <f t="shared" ca="1" si="2"/>
        <v>#VALUE!</v>
      </c>
      <c r="C117" s="35"/>
      <c r="D117" s="35"/>
    </row>
    <row r="118" spans="1:4" x14ac:dyDescent="0.2">
      <c r="A118" s="102">
        <v>43.5</v>
      </c>
      <c r="B118" s="35" t="e">
        <f t="shared" ca="1" si="2"/>
        <v>#VALUE!</v>
      </c>
      <c r="C118" s="35"/>
      <c r="D118" s="35"/>
    </row>
    <row r="119" spans="1:4" x14ac:dyDescent="0.2">
      <c r="A119" s="102">
        <v>44</v>
      </c>
      <c r="B119" s="35" t="e">
        <f t="shared" ca="1" si="2"/>
        <v>#VALUE!</v>
      </c>
      <c r="C119" s="35"/>
      <c r="D119" s="35"/>
    </row>
    <row r="120" spans="1:4" x14ac:dyDescent="0.2">
      <c r="A120" s="102">
        <v>44.5</v>
      </c>
      <c r="B120" s="35" t="e">
        <f t="shared" ca="1" si="2"/>
        <v>#VALUE!</v>
      </c>
      <c r="C120" s="35"/>
      <c r="D120" s="35"/>
    </row>
    <row r="121" spans="1:4" x14ac:dyDescent="0.2">
      <c r="A121" s="102">
        <v>45</v>
      </c>
      <c r="B121" s="35" t="e">
        <f t="shared" ca="1" si="2"/>
        <v>#VALUE!</v>
      </c>
      <c r="C121" s="35"/>
      <c r="D121" s="35"/>
    </row>
    <row r="122" spans="1:4" x14ac:dyDescent="0.2">
      <c r="A122" s="102">
        <v>45.5</v>
      </c>
      <c r="B122" s="35" t="e">
        <f t="shared" ca="1" si="2"/>
        <v>#VALUE!</v>
      </c>
      <c r="C122" s="35"/>
      <c r="D122" s="35"/>
    </row>
    <row r="123" spans="1:4" x14ac:dyDescent="0.2">
      <c r="A123" s="102">
        <v>46</v>
      </c>
      <c r="B123" s="35" t="e">
        <f t="shared" ca="1" si="2"/>
        <v>#VALUE!</v>
      </c>
      <c r="C123" s="35"/>
      <c r="D123" s="35"/>
    </row>
    <row r="124" spans="1:4" x14ac:dyDescent="0.2">
      <c r="A124" s="102">
        <v>46.5</v>
      </c>
      <c r="B124" s="35" t="e">
        <f t="shared" ca="1" si="2"/>
        <v>#VALUE!</v>
      </c>
      <c r="C124" s="35"/>
      <c r="D124" s="35"/>
    </row>
    <row r="125" spans="1:4" x14ac:dyDescent="0.2">
      <c r="A125" s="102">
        <v>47</v>
      </c>
      <c r="B125" s="35" t="e">
        <f t="shared" ca="1" si="2"/>
        <v>#VALUE!</v>
      </c>
      <c r="C125" s="35"/>
      <c r="D125" s="35"/>
    </row>
    <row r="126" spans="1:4" x14ac:dyDescent="0.2">
      <c r="A126" s="102">
        <v>47.5</v>
      </c>
      <c r="B126" s="35" t="e">
        <f t="shared" ca="1" si="2"/>
        <v>#VALUE!</v>
      </c>
      <c r="C126" s="35"/>
      <c r="D126" s="35"/>
    </row>
    <row r="127" spans="1:4" x14ac:dyDescent="0.2">
      <c r="A127" s="102">
        <v>48</v>
      </c>
      <c r="B127" s="35" t="e">
        <f t="shared" ca="1" si="2"/>
        <v>#VALUE!</v>
      </c>
      <c r="C127" s="35"/>
      <c r="D127" s="35"/>
    </row>
    <row r="128" spans="1:4" x14ac:dyDescent="0.2">
      <c r="A128" s="102">
        <v>48.5</v>
      </c>
      <c r="B128" s="35" t="e">
        <f t="shared" ca="1" si="2"/>
        <v>#VALUE!</v>
      </c>
      <c r="C128" s="35"/>
      <c r="D128" s="35"/>
    </row>
    <row r="129" spans="1:4" x14ac:dyDescent="0.2">
      <c r="A129" s="102">
        <v>49</v>
      </c>
      <c r="B129" s="35" t="e">
        <f t="shared" ca="1" si="2"/>
        <v>#VALUE!</v>
      </c>
      <c r="C129" s="35"/>
      <c r="D129" s="35"/>
    </row>
    <row r="130" spans="1:4" x14ac:dyDescent="0.2">
      <c r="A130" s="102">
        <v>49.5</v>
      </c>
      <c r="B130" s="35" t="e">
        <f t="shared" ca="1" si="2"/>
        <v>#VALUE!</v>
      </c>
      <c r="C130" s="35"/>
      <c r="D130" s="35"/>
    </row>
    <row r="131" spans="1:4" x14ac:dyDescent="0.2">
      <c r="A131" s="102">
        <v>50</v>
      </c>
      <c r="B131" s="35" t="e">
        <f t="shared" ca="1" si="2"/>
        <v>#VALUE!</v>
      </c>
      <c r="C131" s="35"/>
      <c r="D131" s="35"/>
    </row>
    <row r="132" spans="1:4" x14ac:dyDescent="0.2">
      <c r="A132" s="102">
        <v>50.5</v>
      </c>
      <c r="B132" s="35" t="e">
        <f t="shared" ca="1" si="2"/>
        <v>#VALUE!</v>
      </c>
      <c r="C132" s="35"/>
      <c r="D132" s="35"/>
    </row>
    <row r="133" spans="1:4" x14ac:dyDescent="0.2">
      <c r="A133" s="102">
        <v>51</v>
      </c>
      <c r="B133" s="35" t="e">
        <f t="shared" ca="1" si="2"/>
        <v>#VALUE!</v>
      </c>
      <c r="C133" s="35"/>
      <c r="D133" s="35"/>
    </row>
    <row r="134" spans="1:4" x14ac:dyDescent="0.2">
      <c r="A134" s="102">
        <v>51.5</v>
      </c>
      <c r="B134" s="35" t="e">
        <f t="shared" ca="1" si="2"/>
        <v>#VALUE!</v>
      </c>
      <c r="C134" s="35"/>
      <c r="D134" s="35"/>
    </row>
    <row r="135" spans="1:4" x14ac:dyDescent="0.2">
      <c r="A135" s="102">
        <v>52</v>
      </c>
      <c r="B135" s="35" t="e">
        <f t="shared" ca="1" si="2"/>
        <v>#VALUE!</v>
      </c>
      <c r="C135" s="35"/>
      <c r="D135" s="35"/>
    </row>
    <row r="136" spans="1:4" x14ac:dyDescent="0.2">
      <c r="A136" s="102">
        <v>52.5</v>
      </c>
      <c r="B136" s="35" t="e">
        <f t="shared" ca="1" si="2"/>
        <v>#VALUE!</v>
      </c>
      <c r="C136" s="35"/>
      <c r="D136" s="35"/>
    </row>
    <row r="137" spans="1:4" x14ac:dyDescent="0.2">
      <c r="A137" s="102">
        <v>53</v>
      </c>
      <c r="B137" s="35" t="e">
        <f t="shared" ca="1" si="2"/>
        <v>#VALUE!</v>
      </c>
      <c r="C137" s="35"/>
      <c r="D137" s="35"/>
    </row>
    <row r="138" spans="1:4" x14ac:dyDescent="0.2">
      <c r="A138" s="102">
        <v>53.5</v>
      </c>
      <c r="B138" s="35" t="e">
        <f t="shared" ca="1" si="2"/>
        <v>#VALUE!</v>
      </c>
      <c r="C138" s="35"/>
      <c r="D138" s="35"/>
    </row>
    <row r="139" spans="1:4" x14ac:dyDescent="0.2">
      <c r="A139" s="102">
        <v>54</v>
      </c>
      <c r="B139" s="35" t="e">
        <f t="shared" ca="1" si="2"/>
        <v>#VALUE!</v>
      </c>
      <c r="C139" s="35"/>
      <c r="D139" s="35"/>
    </row>
    <row r="140" spans="1:4" x14ac:dyDescent="0.2">
      <c r="A140" s="102">
        <v>54.5</v>
      </c>
      <c r="B140" s="35" t="e">
        <f t="shared" ca="1" si="2"/>
        <v>#VALUE!</v>
      </c>
      <c r="C140" s="35"/>
      <c r="D140" s="35"/>
    </row>
    <row r="141" spans="1:4" x14ac:dyDescent="0.2">
      <c r="A141" s="102">
        <v>55</v>
      </c>
      <c r="B141" s="35" t="e">
        <f t="shared" ca="1" si="2"/>
        <v>#VALUE!</v>
      </c>
      <c r="C141" s="35"/>
      <c r="D141" s="35"/>
    </row>
    <row r="142" spans="1:4" x14ac:dyDescent="0.2">
      <c r="A142" s="102">
        <v>55.5</v>
      </c>
      <c r="B142" s="35" t="e">
        <f t="shared" ca="1" si="2"/>
        <v>#VALUE!</v>
      </c>
      <c r="C142" s="35"/>
      <c r="D142" s="35"/>
    </row>
    <row r="143" spans="1:4" x14ac:dyDescent="0.2">
      <c r="A143" s="102">
        <v>56</v>
      </c>
      <c r="B143" s="35" t="e">
        <f t="shared" ca="1" si="2"/>
        <v>#VALUE!</v>
      </c>
      <c r="C143" s="35"/>
      <c r="D143" s="35"/>
    </row>
    <row r="144" spans="1:4" x14ac:dyDescent="0.2">
      <c r="A144" s="102">
        <v>56.5</v>
      </c>
      <c r="B144" s="35" t="e">
        <f t="shared" ca="1" si="2"/>
        <v>#VALUE!</v>
      </c>
      <c r="C144" s="35"/>
      <c r="D144" s="35"/>
    </row>
    <row r="145" spans="1:4" x14ac:dyDescent="0.2">
      <c r="A145" s="102">
        <v>57</v>
      </c>
      <c r="B145" s="35" t="e">
        <f t="shared" ca="1" si="2"/>
        <v>#VALUE!</v>
      </c>
      <c r="C145" s="35"/>
      <c r="D145" s="35"/>
    </row>
    <row r="146" spans="1:4" x14ac:dyDescent="0.2">
      <c r="A146" s="102">
        <v>57.5</v>
      </c>
      <c r="B146" s="35" t="e">
        <f t="shared" ca="1" si="2"/>
        <v>#VALUE!</v>
      </c>
      <c r="C146" s="35"/>
      <c r="D146" s="35"/>
    </row>
    <row r="147" spans="1:4" x14ac:dyDescent="0.2">
      <c r="A147" s="102">
        <v>58</v>
      </c>
      <c r="B147" s="35" t="e">
        <f t="shared" ca="1" si="2"/>
        <v>#VALUE!</v>
      </c>
      <c r="C147" s="35"/>
      <c r="D147" s="35"/>
    </row>
    <row r="148" spans="1:4" x14ac:dyDescent="0.2">
      <c r="A148" s="102">
        <v>58.5</v>
      </c>
      <c r="B148" s="35" t="e">
        <f t="shared" ca="1" si="2"/>
        <v>#VALUE!</v>
      </c>
      <c r="C148" s="35"/>
      <c r="D148" s="35"/>
    </row>
    <row r="149" spans="1:4" x14ac:dyDescent="0.2">
      <c r="A149" s="102">
        <v>59</v>
      </c>
      <c r="B149" s="35" t="e">
        <f t="shared" ca="1" si="2"/>
        <v>#VALUE!</v>
      </c>
      <c r="C149" s="35"/>
      <c r="D149" s="35"/>
    </row>
    <row r="150" spans="1:4" x14ac:dyDescent="0.2">
      <c r="A150" s="102">
        <v>59.5</v>
      </c>
      <c r="B150" s="35" t="e">
        <f t="shared" ca="1" si="2"/>
        <v>#VALUE!</v>
      </c>
      <c r="C150" s="35"/>
      <c r="D150" s="35"/>
    </row>
    <row r="151" spans="1:4" x14ac:dyDescent="0.2">
      <c r="A151" s="102">
        <v>60</v>
      </c>
      <c r="B151" s="35" t="e">
        <f t="shared" ca="1" si="2"/>
        <v>#VALUE!</v>
      </c>
      <c r="C151" s="35"/>
      <c r="D151" s="35"/>
    </row>
    <row r="152" spans="1:4" x14ac:dyDescent="0.2">
      <c r="A152" s="102">
        <v>60.5</v>
      </c>
      <c r="B152" s="35" t="e">
        <f t="shared" ca="1" si="2"/>
        <v>#VALUE!</v>
      </c>
      <c r="C152" s="35"/>
      <c r="D152" s="35"/>
    </row>
    <row r="153" spans="1:4" x14ac:dyDescent="0.2">
      <c r="A153" s="102">
        <v>61</v>
      </c>
      <c r="B153" s="35" t="e">
        <f t="shared" ca="1" si="2"/>
        <v>#VALUE!</v>
      </c>
      <c r="C153" s="35"/>
      <c r="D153" s="35"/>
    </row>
    <row r="154" spans="1:4" x14ac:dyDescent="0.2">
      <c r="A154" s="102">
        <v>61.5</v>
      </c>
      <c r="B154" s="35" t="e">
        <f t="shared" ca="1" si="2"/>
        <v>#VALUE!</v>
      </c>
      <c r="C154" s="35"/>
      <c r="D154" s="35"/>
    </row>
    <row r="155" spans="1:4" x14ac:dyDescent="0.2">
      <c r="A155" s="102">
        <v>62</v>
      </c>
      <c r="B155" s="35" t="e">
        <f t="shared" ca="1" si="2"/>
        <v>#VALUE!</v>
      </c>
      <c r="C155" s="35"/>
      <c r="D155" s="35"/>
    </row>
    <row r="156" spans="1:4" x14ac:dyDescent="0.2">
      <c r="A156" s="102">
        <v>62.5</v>
      </c>
      <c r="B156" s="35" t="e">
        <f t="shared" ca="1" si="2"/>
        <v>#VALUE!</v>
      </c>
      <c r="C156" s="35"/>
      <c r="D156" s="35"/>
    </row>
    <row r="157" spans="1:4" x14ac:dyDescent="0.2">
      <c r="A157" s="102">
        <v>63</v>
      </c>
      <c r="B157" s="35" t="e">
        <f t="shared" ca="1" si="2"/>
        <v>#VALUE!</v>
      </c>
      <c r="C157" s="35"/>
      <c r="D157" s="35"/>
    </row>
    <row r="158" spans="1:4" x14ac:dyDescent="0.2">
      <c r="A158" s="102">
        <v>63.5</v>
      </c>
      <c r="B158" s="35" t="e">
        <f t="shared" ca="1" si="2"/>
        <v>#VALUE!</v>
      </c>
      <c r="C158" s="35"/>
      <c r="D158" s="35"/>
    </row>
    <row r="159" spans="1:4" x14ac:dyDescent="0.2">
      <c r="A159" s="102">
        <v>64</v>
      </c>
      <c r="B159" s="35" t="e">
        <f t="shared" ca="1" si="2"/>
        <v>#VALUE!</v>
      </c>
      <c r="C159" s="35"/>
      <c r="D159" s="35"/>
    </row>
    <row r="160" spans="1:4" x14ac:dyDescent="0.2">
      <c r="A160" s="102">
        <v>64.5</v>
      </c>
      <c r="B160" s="35" t="e">
        <f t="shared" ca="1" si="2"/>
        <v>#VALUE!</v>
      </c>
      <c r="C160" s="35"/>
      <c r="D160" s="35"/>
    </row>
    <row r="161" spans="1:4" x14ac:dyDescent="0.2">
      <c r="A161" s="102">
        <v>65</v>
      </c>
      <c r="B161" s="35" t="e">
        <f t="shared" ref="B161:B224" ca="1" si="3">EPR_calc(A161)</f>
        <v>#VALUE!</v>
      </c>
      <c r="C161" s="35"/>
      <c r="D161" s="35"/>
    </row>
    <row r="162" spans="1:4" x14ac:dyDescent="0.2">
      <c r="A162" s="102">
        <v>65.5</v>
      </c>
      <c r="B162" s="35" t="e">
        <f t="shared" ca="1" si="3"/>
        <v>#VALUE!</v>
      </c>
      <c r="C162" s="35"/>
      <c r="D162" s="35"/>
    </row>
    <row r="163" spans="1:4" x14ac:dyDescent="0.2">
      <c r="A163" s="102">
        <v>66</v>
      </c>
      <c r="B163" s="35" t="e">
        <f t="shared" ca="1" si="3"/>
        <v>#VALUE!</v>
      </c>
      <c r="C163" s="35"/>
      <c r="D163" s="35"/>
    </row>
    <row r="164" spans="1:4" x14ac:dyDescent="0.2">
      <c r="A164" s="102">
        <v>66.5</v>
      </c>
      <c r="B164" s="35" t="e">
        <f t="shared" ca="1" si="3"/>
        <v>#VALUE!</v>
      </c>
      <c r="C164" s="35"/>
      <c r="D164" s="35"/>
    </row>
    <row r="165" spans="1:4" x14ac:dyDescent="0.2">
      <c r="A165" s="102">
        <v>67</v>
      </c>
      <c r="B165" s="35" t="e">
        <f t="shared" ca="1" si="3"/>
        <v>#VALUE!</v>
      </c>
      <c r="C165" s="35"/>
      <c r="D165" s="35"/>
    </row>
    <row r="166" spans="1:4" x14ac:dyDescent="0.2">
      <c r="A166" s="102">
        <v>67.5</v>
      </c>
      <c r="B166" s="35" t="e">
        <f t="shared" ca="1" si="3"/>
        <v>#VALUE!</v>
      </c>
      <c r="C166" s="35"/>
      <c r="D166" s="35"/>
    </row>
    <row r="167" spans="1:4" x14ac:dyDescent="0.2">
      <c r="A167" s="102">
        <v>68</v>
      </c>
      <c r="B167" s="35" t="e">
        <f t="shared" ca="1" si="3"/>
        <v>#VALUE!</v>
      </c>
      <c r="C167" s="35"/>
      <c r="D167" s="35"/>
    </row>
    <row r="168" spans="1:4" x14ac:dyDescent="0.2">
      <c r="A168" s="102">
        <v>68.5</v>
      </c>
      <c r="B168" s="35" t="e">
        <f t="shared" ca="1" si="3"/>
        <v>#VALUE!</v>
      </c>
      <c r="C168" s="35"/>
      <c r="D168" s="35"/>
    </row>
    <row r="169" spans="1:4" x14ac:dyDescent="0.2">
      <c r="A169" s="102">
        <v>69</v>
      </c>
      <c r="B169" s="35" t="e">
        <f t="shared" ca="1" si="3"/>
        <v>#VALUE!</v>
      </c>
      <c r="C169" s="35"/>
      <c r="D169" s="35"/>
    </row>
    <row r="170" spans="1:4" x14ac:dyDescent="0.2">
      <c r="A170" s="102">
        <v>69.5</v>
      </c>
      <c r="B170" s="35" t="e">
        <f t="shared" ca="1" si="3"/>
        <v>#VALUE!</v>
      </c>
      <c r="C170" s="35"/>
      <c r="D170" s="35"/>
    </row>
    <row r="171" spans="1:4" x14ac:dyDescent="0.2">
      <c r="A171" s="102">
        <v>70</v>
      </c>
      <c r="B171" s="35" t="e">
        <f t="shared" ca="1" si="3"/>
        <v>#VALUE!</v>
      </c>
      <c r="C171" s="35"/>
      <c r="D171" s="35"/>
    </row>
    <row r="172" spans="1:4" x14ac:dyDescent="0.2">
      <c r="A172" s="102">
        <v>70.5</v>
      </c>
      <c r="B172" s="35" t="e">
        <f t="shared" ca="1" si="3"/>
        <v>#VALUE!</v>
      </c>
      <c r="C172" s="35"/>
      <c r="D172" s="35"/>
    </row>
    <row r="173" spans="1:4" x14ac:dyDescent="0.2">
      <c r="A173" s="102">
        <v>71</v>
      </c>
      <c r="B173" s="35" t="e">
        <f t="shared" ca="1" si="3"/>
        <v>#VALUE!</v>
      </c>
      <c r="C173" s="35"/>
      <c r="D173" s="35"/>
    </row>
    <row r="174" spans="1:4" x14ac:dyDescent="0.2">
      <c r="A174" s="102">
        <v>71.5</v>
      </c>
      <c r="B174" s="35" t="e">
        <f t="shared" ca="1" si="3"/>
        <v>#VALUE!</v>
      </c>
      <c r="C174" s="35"/>
      <c r="D174" s="35"/>
    </row>
    <row r="175" spans="1:4" x14ac:dyDescent="0.2">
      <c r="A175" s="102">
        <v>72</v>
      </c>
      <c r="B175" s="35" t="e">
        <f t="shared" ca="1" si="3"/>
        <v>#VALUE!</v>
      </c>
      <c r="C175" s="35"/>
      <c r="D175" s="35"/>
    </row>
    <row r="176" spans="1:4" x14ac:dyDescent="0.2">
      <c r="A176" s="102">
        <v>72.5</v>
      </c>
      <c r="B176" s="35" t="e">
        <f t="shared" ca="1" si="3"/>
        <v>#VALUE!</v>
      </c>
      <c r="C176" s="35"/>
      <c r="D176" s="35"/>
    </row>
    <row r="177" spans="1:4" x14ac:dyDescent="0.2">
      <c r="A177" s="102">
        <v>73</v>
      </c>
      <c r="B177" s="35" t="e">
        <f t="shared" ca="1" si="3"/>
        <v>#VALUE!</v>
      </c>
      <c r="C177" s="35"/>
      <c r="D177" s="35"/>
    </row>
    <row r="178" spans="1:4" x14ac:dyDescent="0.2">
      <c r="A178" s="102">
        <v>73.5</v>
      </c>
      <c r="B178" s="35" t="e">
        <f t="shared" ca="1" si="3"/>
        <v>#VALUE!</v>
      </c>
      <c r="C178" s="35"/>
      <c r="D178" s="35"/>
    </row>
    <row r="179" spans="1:4" x14ac:dyDescent="0.2">
      <c r="A179" s="102">
        <v>74</v>
      </c>
      <c r="B179" s="35" t="e">
        <f t="shared" ca="1" si="3"/>
        <v>#VALUE!</v>
      </c>
      <c r="C179" s="35"/>
      <c r="D179" s="35"/>
    </row>
    <row r="180" spans="1:4" x14ac:dyDescent="0.2">
      <c r="A180" s="102">
        <v>74.5</v>
      </c>
      <c r="B180" s="35" t="e">
        <f t="shared" ca="1" si="3"/>
        <v>#VALUE!</v>
      </c>
      <c r="C180" s="35"/>
      <c r="D180" s="35"/>
    </row>
    <row r="181" spans="1:4" x14ac:dyDescent="0.2">
      <c r="A181" s="102">
        <v>75</v>
      </c>
      <c r="B181" s="35" t="e">
        <f t="shared" ca="1" si="3"/>
        <v>#VALUE!</v>
      </c>
      <c r="C181" s="35"/>
      <c r="D181" s="35"/>
    </row>
    <row r="182" spans="1:4" x14ac:dyDescent="0.2">
      <c r="A182" s="102">
        <v>75.5</v>
      </c>
      <c r="B182" s="35" t="e">
        <f t="shared" ca="1" si="3"/>
        <v>#VALUE!</v>
      </c>
      <c r="C182" s="35"/>
      <c r="D182" s="35"/>
    </row>
    <row r="183" spans="1:4" x14ac:dyDescent="0.2">
      <c r="A183" s="102">
        <v>76</v>
      </c>
      <c r="B183" s="35" t="e">
        <f t="shared" ca="1" si="3"/>
        <v>#VALUE!</v>
      </c>
      <c r="C183" s="35"/>
      <c r="D183" s="35"/>
    </row>
    <row r="184" spans="1:4" x14ac:dyDescent="0.2">
      <c r="A184" s="102">
        <v>76.5</v>
      </c>
      <c r="B184" s="35" t="e">
        <f t="shared" ca="1" si="3"/>
        <v>#VALUE!</v>
      </c>
      <c r="C184" s="35"/>
      <c r="D184" s="35"/>
    </row>
    <row r="185" spans="1:4" x14ac:dyDescent="0.2">
      <c r="A185" s="102">
        <v>77</v>
      </c>
      <c r="B185" s="35" t="e">
        <f t="shared" ca="1" si="3"/>
        <v>#VALUE!</v>
      </c>
      <c r="C185" s="35"/>
      <c r="D185" s="35"/>
    </row>
    <row r="186" spans="1:4" x14ac:dyDescent="0.2">
      <c r="A186" s="102">
        <v>77.5</v>
      </c>
      <c r="B186" s="35" t="e">
        <f t="shared" ca="1" si="3"/>
        <v>#VALUE!</v>
      </c>
      <c r="C186" s="35"/>
      <c r="D186" s="35"/>
    </row>
    <row r="187" spans="1:4" x14ac:dyDescent="0.2">
      <c r="A187" s="102">
        <v>78</v>
      </c>
      <c r="B187" s="35" t="e">
        <f t="shared" ca="1" si="3"/>
        <v>#VALUE!</v>
      </c>
      <c r="C187" s="35"/>
      <c r="D187" s="35"/>
    </row>
    <row r="188" spans="1:4" x14ac:dyDescent="0.2">
      <c r="A188" s="102">
        <v>78.5</v>
      </c>
      <c r="B188" s="35" t="e">
        <f t="shared" ca="1" si="3"/>
        <v>#VALUE!</v>
      </c>
      <c r="C188" s="35"/>
      <c r="D188" s="35"/>
    </row>
    <row r="189" spans="1:4" x14ac:dyDescent="0.2">
      <c r="A189" s="102">
        <v>79</v>
      </c>
      <c r="B189" s="35" t="e">
        <f t="shared" ca="1" si="3"/>
        <v>#VALUE!</v>
      </c>
      <c r="C189" s="35"/>
      <c r="D189" s="35"/>
    </row>
    <row r="190" spans="1:4" x14ac:dyDescent="0.2">
      <c r="A190" s="102">
        <v>79.5</v>
      </c>
      <c r="B190" s="35" t="e">
        <f t="shared" ca="1" si="3"/>
        <v>#VALUE!</v>
      </c>
      <c r="C190" s="35"/>
      <c r="D190" s="35"/>
    </row>
    <row r="191" spans="1:4" x14ac:dyDescent="0.2">
      <c r="A191" s="102">
        <v>80</v>
      </c>
      <c r="B191" s="35" t="e">
        <f t="shared" ca="1" si="3"/>
        <v>#VALUE!</v>
      </c>
      <c r="C191" s="35"/>
      <c r="D191" s="35"/>
    </row>
    <row r="192" spans="1:4" x14ac:dyDescent="0.2">
      <c r="A192" s="102">
        <v>80.5</v>
      </c>
      <c r="B192" s="35" t="e">
        <f t="shared" ca="1" si="3"/>
        <v>#VALUE!</v>
      </c>
      <c r="C192" s="35"/>
      <c r="D192" s="35"/>
    </row>
    <row r="193" spans="1:4" x14ac:dyDescent="0.2">
      <c r="A193" s="102">
        <v>81</v>
      </c>
      <c r="B193" s="35" t="e">
        <f t="shared" ca="1" si="3"/>
        <v>#VALUE!</v>
      </c>
      <c r="C193" s="35"/>
      <c r="D193" s="35"/>
    </row>
    <row r="194" spans="1:4" x14ac:dyDescent="0.2">
      <c r="A194" s="102">
        <v>81.5</v>
      </c>
      <c r="B194" s="35" t="e">
        <f t="shared" ca="1" si="3"/>
        <v>#VALUE!</v>
      </c>
      <c r="C194" s="35"/>
      <c r="D194" s="35"/>
    </row>
    <row r="195" spans="1:4" x14ac:dyDescent="0.2">
      <c r="A195" s="102">
        <v>82</v>
      </c>
      <c r="B195" s="35" t="e">
        <f t="shared" ca="1" si="3"/>
        <v>#VALUE!</v>
      </c>
      <c r="C195" s="35"/>
      <c r="D195" s="35"/>
    </row>
    <row r="196" spans="1:4" x14ac:dyDescent="0.2">
      <c r="A196" s="102">
        <v>82.5</v>
      </c>
      <c r="B196" s="35" t="e">
        <f t="shared" ca="1" si="3"/>
        <v>#VALUE!</v>
      </c>
      <c r="C196" s="35"/>
      <c r="D196" s="35"/>
    </row>
    <row r="197" spans="1:4" x14ac:dyDescent="0.2">
      <c r="A197" s="102">
        <v>83</v>
      </c>
      <c r="B197" s="35" t="e">
        <f t="shared" ca="1" si="3"/>
        <v>#VALUE!</v>
      </c>
      <c r="C197" s="35"/>
      <c r="D197" s="35"/>
    </row>
    <row r="198" spans="1:4" x14ac:dyDescent="0.2">
      <c r="A198" s="102">
        <v>83.5</v>
      </c>
      <c r="B198" s="35" t="e">
        <f t="shared" ca="1" si="3"/>
        <v>#VALUE!</v>
      </c>
      <c r="C198" s="35"/>
      <c r="D198" s="35"/>
    </row>
    <row r="199" spans="1:4" x14ac:dyDescent="0.2">
      <c r="A199" s="102">
        <v>84</v>
      </c>
      <c r="B199" s="35" t="e">
        <f t="shared" ca="1" si="3"/>
        <v>#VALUE!</v>
      </c>
      <c r="C199" s="35"/>
      <c r="D199" s="35"/>
    </row>
    <row r="200" spans="1:4" x14ac:dyDescent="0.2">
      <c r="A200" s="102">
        <v>84.5</v>
      </c>
      <c r="B200" s="35" t="e">
        <f t="shared" ca="1" si="3"/>
        <v>#VALUE!</v>
      </c>
      <c r="C200" s="35"/>
      <c r="D200" s="35"/>
    </row>
    <row r="201" spans="1:4" x14ac:dyDescent="0.2">
      <c r="A201" s="102">
        <v>85</v>
      </c>
      <c r="B201" s="35" t="e">
        <f t="shared" ca="1" si="3"/>
        <v>#VALUE!</v>
      </c>
      <c r="C201" s="35"/>
      <c r="D201" s="35"/>
    </row>
    <row r="202" spans="1:4" x14ac:dyDescent="0.2">
      <c r="A202" s="102">
        <v>85.5</v>
      </c>
      <c r="B202" s="35" t="e">
        <f t="shared" ca="1" si="3"/>
        <v>#VALUE!</v>
      </c>
      <c r="C202" s="35"/>
      <c r="D202" s="35"/>
    </row>
    <row r="203" spans="1:4" x14ac:dyDescent="0.2">
      <c r="A203" s="102">
        <v>86</v>
      </c>
      <c r="B203" s="35" t="e">
        <f t="shared" ca="1" si="3"/>
        <v>#VALUE!</v>
      </c>
      <c r="C203" s="35"/>
      <c r="D203" s="35"/>
    </row>
    <row r="204" spans="1:4" x14ac:dyDescent="0.2">
      <c r="A204" s="102">
        <v>86.5</v>
      </c>
      <c r="B204" s="35" t="e">
        <f t="shared" ca="1" si="3"/>
        <v>#VALUE!</v>
      </c>
      <c r="C204" s="35"/>
      <c r="D204" s="35"/>
    </row>
    <row r="205" spans="1:4" x14ac:dyDescent="0.2">
      <c r="A205" s="102">
        <v>87</v>
      </c>
      <c r="B205" s="35" t="e">
        <f t="shared" ca="1" si="3"/>
        <v>#VALUE!</v>
      </c>
      <c r="C205" s="35"/>
      <c r="D205" s="35"/>
    </row>
    <row r="206" spans="1:4" x14ac:dyDescent="0.2">
      <c r="A206" s="102">
        <v>87.5</v>
      </c>
      <c r="B206" s="35" t="e">
        <f t="shared" ca="1" si="3"/>
        <v>#VALUE!</v>
      </c>
      <c r="C206" s="35"/>
      <c r="D206" s="35"/>
    </row>
    <row r="207" spans="1:4" x14ac:dyDescent="0.2">
      <c r="A207" s="102">
        <v>88</v>
      </c>
      <c r="B207" s="35" t="e">
        <f t="shared" ca="1" si="3"/>
        <v>#VALUE!</v>
      </c>
      <c r="C207" s="35"/>
      <c r="D207" s="35"/>
    </row>
    <row r="208" spans="1:4" x14ac:dyDescent="0.2">
      <c r="A208" s="102">
        <v>88.5</v>
      </c>
      <c r="B208" s="35" t="e">
        <f t="shared" ca="1" si="3"/>
        <v>#VALUE!</v>
      </c>
      <c r="C208" s="35"/>
      <c r="D208" s="35"/>
    </row>
    <row r="209" spans="1:4" x14ac:dyDescent="0.2">
      <c r="A209" s="102">
        <v>89</v>
      </c>
      <c r="B209" s="35" t="e">
        <f t="shared" ca="1" si="3"/>
        <v>#VALUE!</v>
      </c>
      <c r="C209" s="35"/>
      <c r="D209" s="35"/>
    </row>
    <row r="210" spans="1:4" x14ac:dyDescent="0.2">
      <c r="A210" s="102">
        <v>89.5</v>
      </c>
      <c r="B210" s="35" t="e">
        <f t="shared" ca="1" si="3"/>
        <v>#VALUE!</v>
      </c>
      <c r="C210" s="35"/>
      <c r="D210" s="35"/>
    </row>
    <row r="211" spans="1:4" x14ac:dyDescent="0.2">
      <c r="A211" s="102">
        <v>90</v>
      </c>
      <c r="B211" s="35" t="e">
        <f t="shared" ca="1" si="3"/>
        <v>#VALUE!</v>
      </c>
      <c r="C211" s="35"/>
      <c r="D211" s="35"/>
    </row>
    <row r="212" spans="1:4" x14ac:dyDescent="0.2">
      <c r="A212" s="102">
        <v>90.5</v>
      </c>
      <c r="B212" s="35" t="e">
        <f t="shared" ca="1" si="3"/>
        <v>#VALUE!</v>
      </c>
      <c r="C212" s="35"/>
      <c r="D212" s="35"/>
    </row>
    <row r="213" spans="1:4" x14ac:dyDescent="0.2">
      <c r="A213" s="102">
        <v>91</v>
      </c>
      <c r="B213" s="35" t="e">
        <f t="shared" ca="1" si="3"/>
        <v>#VALUE!</v>
      </c>
      <c r="C213" s="35"/>
      <c r="D213" s="35"/>
    </row>
    <row r="214" spans="1:4" x14ac:dyDescent="0.2">
      <c r="A214" s="102">
        <v>91.5</v>
      </c>
      <c r="B214" s="35" t="e">
        <f t="shared" ca="1" si="3"/>
        <v>#VALUE!</v>
      </c>
      <c r="C214" s="35"/>
      <c r="D214" s="35"/>
    </row>
    <row r="215" spans="1:4" x14ac:dyDescent="0.2">
      <c r="A215" s="102">
        <v>92</v>
      </c>
      <c r="B215" s="35" t="e">
        <f t="shared" ca="1" si="3"/>
        <v>#VALUE!</v>
      </c>
      <c r="C215" s="35"/>
      <c r="D215" s="35"/>
    </row>
    <row r="216" spans="1:4" x14ac:dyDescent="0.2">
      <c r="A216" s="102">
        <v>92.5</v>
      </c>
      <c r="B216" s="35" t="e">
        <f t="shared" ca="1" si="3"/>
        <v>#VALUE!</v>
      </c>
      <c r="C216" s="35"/>
      <c r="D216" s="35"/>
    </row>
    <row r="217" spans="1:4" x14ac:dyDescent="0.2">
      <c r="A217" s="102">
        <v>93</v>
      </c>
      <c r="B217" s="35" t="e">
        <f t="shared" ca="1" si="3"/>
        <v>#VALUE!</v>
      </c>
      <c r="C217" s="35"/>
      <c r="D217" s="35"/>
    </row>
    <row r="218" spans="1:4" x14ac:dyDescent="0.2">
      <c r="A218" s="102">
        <v>93.5</v>
      </c>
      <c r="B218" s="35" t="e">
        <f t="shared" ca="1" si="3"/>
        <v>#VALUE!</v>
      </c>
      <c r="C218" s="35"/>
      <c r="D218" s="35"/>
    </row>
    <row r="219" spans="1:4" x14ac:dyDescent="0.2">
      <c r="A219" s="102">
        <v>94</v>
      </c>
      <c r="B219" s="35" t="e">
        <f t="shared" ca="1" si="3"/>
        <v>#VALUE!</v>
      </c>
      <c r="C219" s="35"/>
      <c r="D219" s="35"/>
    </row>
    <row r="220" spans="1:4" x14ac:dyDescent="0.2">
      <c r="A220" s="102">
        <v>94.5</v>
      </c>
      <c r="B220" s="35" t="e">
        <f t="shared" ca="1" si="3"/>
        <v>#VALUE!</v>
      </c>
      <c r="C220" s="35"/>
      <c r="D220" s="35"/>
    </row>
    <row r="221" spans="1:4" x14ac:dyDescent="0.2">
      <c r="A221" s="102">
        <v>95</v>
      </c>
      <c r="B221" s="35" t="e">
        <f t="shared" ca="1" si="3"/>
        <v>#VALUE!</v>
      </c>
      <c r="C221" s="35"/>
      <c r="D221" s="35"/>
    </row>
    <row r="222" spans="1:4" x14ac:dyDescent="0.2">
      <c r="A222" s="102">
        <v>95.5</v>
      </c>
      <c r="B222" s="35" t="e">
        <f t="shared" ca="1" si="3"/>
        <v>#VALUE!</v>
      </c>
      <c r="C222" s="35"/>
      <c r="D222" s="35"/>
    </row>
    <row r="223" spans="1:4" x14ac:dyDescent="0.2">
      <c r="A223" s="102">
        <v>96</v>
      </c>
      <c r="B223" s="35" t="e">
        <f t="shared" ca="1" si="3"/>
        <v>#VALUE!</v>
      </c>
      <c r="C223" s="35"/>
      <c r="D223" s="35"/>
    </row>
    <row r="224" spans="1:4" x14ac:dyDescent="0.2">
      <c r="A224" s="102">
        <v>96.5</v>
      </c>
      <c r="B224" s="35" t="e">
        <f t="shared" ca="1" si="3"/>
        <v>#VALUE!</v>
      </c>
      <c r="C224" s="35"/>
      <c r="D224" s="35"/>
    </row>
    <row r="225" spans="1:4" x14ac:dyDescent="0.2">
      <c r="A225" s="102">
        <v>97</v>
      </c>
      <c r="B225" s="35" t="e">
        <f t="shared" ref="B225:B288" ca="1" si="4">EPR_calc(A225)</f>
        <v>#VALUE!</v>
      </c>
      <c r="C225" s="35"/>
      <c r="D225" s="35"/>
    </row>
    <row r="226" spans="1:4" x14ac:dyDescent="0.2">
      <c r="A226" s="102">
        <v>97.5</v>
      </c>
      <c r="B226" s="35" t="e">
        <f t="shared" ca="1" si="4"/>
        <v>#VALUE!</v>
      </c>
      <c r="C226" s="35"/>
      <c r="D226" s="35"/>
    </row>
    <row r="227" spans="1:4" x14ac:dyDescent="0.2">
      <c r="A227" s="102">
        <v>98</v>
      </c>
      <c r="B227" s="35" t="e">
        <f t="shared" ca="1" si="4"/>
        <v>#VALUE!</v>
      </c>
      <c r="C227" s="35"/>
      <c r="D227" s="35"/>
    </row>
    <row r="228" spans="1:4" x14ac:dyDescent="0.2">
      <c r="A228" s="102">
        <v>98.5</v>
      </c>
      <c r="B228" s="35" t="e">
        <f t="shared" ca="1" si="4"/>
        <v>#VALUE!</v>
      </c>
      <c r="C228" s="35"/>
      <c r="D228" s="35"/>
    </row>
    <row r="229" spans="1:4" x14ac:dyDescent="0.2">
      <c r="A229" s="102">
        <v>99</v>
      </c>
      <c r="B229" s="35" t="e">
        <f t="shared" ca="1" si="4"/>
        <v>#VALUE!</v>
      </c>
      <c r="C229" s="35"/>
      <c r="D229" s="35"/>
    </row>
    <row r="230" spans="1:4" x14ac:dyDescent="0.2">
      <c r="A230" s="102">
        <v>99.5</v>
      </c>
      <c r="B230" s="35" t="e">
        <f t="shared" ca="1" si="4"/>
        <v>#VALUE!</v>
      </c>
      <c r="C230" s="35"/>
      <c r="D230" s="35"/>
    </row>
    <row r="231" spans="1:4" x14ac:dyDescent="0.2">
      <c r="A231" s="102">
        <v>100</v>
      </c>
      <c r="B231" s="35" t="e">
        <f t="shared" ca="1" si="4"/>
        <v>#VALUE!</v>
      </c>
      <c r="C231" s="35"/>
      <c r="D231" s="35"/>
    </row>
    <row r="232" spans="1:4" x14ac:dyDescent="0.2">
      <c r="A232" s="102">
        <v>101</v>
      </c>
      <c r="B232" s="35" t="e">
        <f t="shared" ca="1" si="4"/>
        <v>#VALUE!</v>
      </c>
      <c r="C232" s="35"/>
      <c r="D232" s="35"/>
    </row>
    <row r="233" spans="1:4" x14ac:dyDescent="0.2">
      <c r="A233" s="102">
        <v>102</v>
      </c>
      <c r="B233" s="35" t="e">
        <f t="shared" ca="1" si="4"/>
        <v>#VALUE!</v>
      </c>
      <c r="C233" s="35"/>
      <c r="D233" s="35"/>
    </row>
    <row r="234" spans="1:4" x14ac:dyDescent="0.2">
      <c r="A234" s="102">
        <v>103</v>
      </c>
      <c r="B234" s="35" t="e">
        <f t="shared" ca="1" si="4"/>
        <v>#VALUE!</v>
      </c>
      <c r="C234" s="35"/>
      <c r="D234" s="35"/>
    </row>
    <row r="235" spans="1:4" x14ac:dyDescent="0.2">
      <c r="A235" s="102">
        <v>104</v>
      </c>
      <c r="B235" s="35" t="e">
        <f t="shared" ca="1" si="4"/>
        <v>#VALUE!</v>
      </c>
      <c r="C235" s="35"/>
      <c r="D235" s="35"/>
    </row>
    <row r="236" spans="1:4" x14ac:dyDescent="0.2">
      <c r="A236" s="102">
        <v>105</v>
      </c>
      <c r="B236" s="35" t="e">
        <f t="shared" ca="1" si="4"/>
        <v>#VALUE!</v>
      </c>
      <c r="C236" s="35"/>
      <c r="D236" s="35"/>
    </row>
    <row r="237" spans="1:4" x14ac:dyDescent="0.2">
      <c r="A237" s="102">
        <v>106</v>
      </c>
      <c r="B237" s="35" t="e">
        <f t="shared" ca="1" si="4"/>
        <v>#VALUE!</v>
      </c>
      <c r="C237" s="35"/>
      <c r="D237" s="35"/>
    </row>
    <row r="238" spans="1:4" x14ac:dyDescent="0.2">
      <c r="A238" s="102">
        <v>107</v>
      </c>
      <c r="B238" s="35" t="e">
        <f t="shared" ca="1" si="4"/>
        <v>#VALUE!</v>
      </c>
      <c r="C238" s="35"/>
      <c r="D238" s="35"/>
    </row>
    <row r="239" spans="1:4" x14ac:dyDescent="0.2">
      <c r="A239" s="102">
        <v>108</v>
      </c>
      <c r="B239" s="35" t="e">
        <f t="shared" ca="1" si="4"/>
        <v>#VALUE!</v>
      </c>
      <c r="C239" s="35"/>
      <c r="D239" s="35"/>
    </row>
    <row r="240" spans="1:4" x14ac:dyDescent="0.2">
      <c r="A240" s="102">
        <v>109</v>
      </c>
      <c r="B240" s="35" t="e">
        <f t="shared" ca="1" si="4"/>
        <v>#VALUE!</v>
      </c>
      <c r="C240" s="35"/>
      <c r="D240" s="35"/>
    </row>
    <row r="241" spans="1:4" x14ac:dyDescent="0.2">
      <c r="A241" s="102">
        <v>110</v>
      </c>
      <c r="B241" s="35" t="e">
        <f t="shared" ca="1" si="4"/>
        <v>#VALUE!</v>
      </c>
      <c r="C241" s="35"/>
      <c r="D241" s="35"/>
    </row>
    <row r="242" spans="1:4" x14ac:dyDescent="0.2">
      <c r="A242" s="102">
        <v>111</v>
      </c>
      <c r="B242" s="35" t="e">
        <f t="shared" ca="1" si="4"/>
        <v>#VALUE!</v>
      </c>
      <c r="C242" s="35"/>
      <c r="D242" s="35"/>
    </row>
    <row r="243" spans="1:4" x14ac:dyDescent="0.2">
      <c r="A243" s="102">
        <v>112</v>
      </c>
      <c r="B243" s="35" t="e">
        <f t="shared" ca="1" si="4"/>
        <v>#VALUE!</v>
      </c>
      <c r="C243" s="35"/>
      <c r="D243" s="35"/>
    </row>
    <row r="244" spans="1:4" x14ac:dyDescent="0.2">
      <c r="A244" s="102">
        <v>113</v>
      </c>
      <c r="B244" s="35" t="e">
        <f t="shared" ca="1" si="4"/>
        <v>#VALUE!</v>
      </c>
      <c r="C244" s="35"/>
      <c r="D244" s="35"/>
    </row>
    <row r="245" spans="1:4" x14ac:dyDescent="0.2">
      <c r="A245" s="102">
        <v>114</v>
      </c>
      <c r="B245" s="35" t="e">
        <f t="shared" ca="1" si="4"/>
        <v>#VALUE!</v>
      </c>
      <c r="C245" s="35"/>
      <c r="D245" s="35"/>
    </row>
    <row r="246" spans="1:4" x14ac:dyDescent="0.2">
      <c r="A246" s="102">
        <v>115</v>
      </c>
      <c r="B246" s="35" t="e">
        <f t="shared" ca="1" si="4"/>
        <v>#VALUE!</v>
      </c>
      <c r="C246" s="35"/>
      <c r="D246" s="35"/>
    </row>
    <row r="247" spans="1:4" x14ac:dyDescent="0.2">
      <c r="A247" s="102">
        <v>116</v>
      </c>
      <c r="B247" s="35" t="e">
        <f t="shared" ca="1" si="4"/>
        <v>#VALUE!</v>
      </c>
      <c r="C247" s="35"/>
      <c r="D247" s="35"/>
    </row>
    <row r="248" spans="1:4" x14ac:dyDescent="0.2">
      <c r="A248" s="102">
        <v>117</v>
      </c>
      <c r="B248" s="35" t="e">
        <f t="shared" ca="1" si="4"/>
        <v>#VALUE!</v>
      </c>
      <c r="C248" s="35"/>
      <c r="D248" s="35"/>
    </row>
    <row r="249" spans="1:4" x14ac:dyDescent="0.2">
      <c r="A249" s="102">
        <v>118</v>
      </c>
      <c r="B249" s="35" t="e">
        <f t="shared" ca="1" si="4"/>
        <v>#VALUE!</v>
      </c>
      <c r="C249" s="35"/>
      <c r="D249" s="35"/>
    </row>
    <row r="250" spans="1:4" x14ac:dyDescent="0.2">
      <c r="A250" s="102">
        <v>119</v>
      </c>
      <c r="B250" s="35" t="e">
        <f t="shared" ca="1" si="4"/>
        <v>#VALUE!</v>
      </c>
      <c r="C250" s="35"/>
      <c r="D250" s="35"/>
    </row>
    <row r="251" spans="1:4" x14ac:dyDescent="0.2">
      <c r="A251" s="102">
        <v>120</v>
      </c>
      <c r="B251" s="35" t="e">
        <f t="shared" ca="1" si="4"/>
        <v>#VALUE!</v>
      </c>
      <c r="C251" s="35"/>
      <c r="D251" s="35"/>
    </row>
    <row r="252" spans="1:4" x14ac:dyDescent="0.2">
      <c r="A252" s="102">
        <v>121</v>
      </c>
      <c r="B252" s="35" t="e">
        <f t="shared" ca="1" si="4"/>
        <v>#VALUE!</v>
      </c>
      <c r="C252" s="35"/>
      <c r="D252" s="35"/>
    </row>
    <row r="253" spans="1:4" x14ac:dyDescent="0.2">
      <c r="A253" s="102">
        <v>122</v>
      </c>
      <c r="B253" s="35" t="e">
        <f t="shared" ca="1" si="4"/>
        <v>#VALUE!</v>
      </c>
      <c r="C253" s="35"/>
      <c r="D253" s="35"/>
    </row>
    <row r="254" spans="1:4" x14ac:dyDescent="0.2">
      <c r="A254" s="102">
        <v>123</v>
      </c>
      <c r="B254" s="35" t="e">
        <f t="shared" ca="1" si="4"/>
        <v>#VALUE!</v>
      </c>
      <c r="C254" s="35"/>
      <c r="D254" s="35"/>
    </row>
    <row r="255" spans="1:4" x14ac:dyDescent="0.2">
      <c r="A255" s="102">
        <v>124</v>
      </c>
      <c r="B255" s="35" t="e">
        <f t="shared" ca="1" si="4"/>
        <v>#VALUE!</v>
      </c>
      <c r="C255" s="35"/>
      <c r="D255" s="35"/>
    </row>
    <row r="256" spans="1:4" x14ac:dyDescent="0.2">
      <c r="A256" s="102">
        <v>125</v>
      </c>
      <c r="B256" s="35" t="e">
        <f t="shared" ca="1" si="4"/>
        <v>#VALUE!</v>
      </c>
      <c r="C256" s="35"/>
      <c r="D256" s="35"/>
    </row>
    <row r="257" spans="1:4" x14ac:dyDescent="0.2">
      <c r="A257" s="102">
        <v>126</v>
      </c>
      <c r="B257" s="35" t="e">
        <f t="shared" ca="1" si="4"/>
        <v>#VALUE!</v>
      </c>
      <c r="C257" s="35"/>
      <c r="D257" s="35"/>
    </row>
    <row r="258" spans="1:4" x14ac:dyDescent="0.2">
      <c r="A258" s="102">
        <v>127</v>
      </c>
      <c r="B258" s="35" t="e">
        <f t="shared" ca="1" si="4"/>
        <v>#VALUE!</v>
      </c>
      <c r="C258" s="35"/>
      <c r="D258" s="35"/>
    </row>
    <row r="259" spans="1:4" x14ac:dyDescent="0.2">
      <c r="A259" s="102">
        <v>128</v>
      </c>
      <c r="B259" s="35" t="e">
        <f t="shared" ca="1" si="4"/>
        <v>#VALUE!</v>
      </c>
      <c r="C259" s="35"/>
      <c r="D259" s="35"/>
    </row>
    <row r="260" spans="1:4" x14ac:dyDescent="0.2">
      <c r="A260" s="102">
        <v>129</v>
      </c>
      <c r="B260" s="35" t="e">
        <f t="shared" ca="1" si="4"/>
        <v>#VALUE!</v>
      </c>
      <c r="C260" s="35"/>
      <c r="D260" s="35"/>
    </row>
    <row r="261" spans="1:4" x14ac:dyDescent="0.2">
      <c r="A261" s="102">
        <v>130</v>
      </c>
      <c r="B261" s="35" t="e">
        <f t="shared" ca="1" si="4"/>
        <v>#VALUE!</v>
      </c>
      <c r="C261" s="35"/>
      <c r="D261" s="35"/>
    </row>
    <row r="262" spans="1:4" x14ac:dyDescent="0.2">
      <c r="A262" s="102">
        <v>131</v>
      </c>
      <c r="B262" s="35" t="e">
        <f t="shared" ca="1" si="4"/>
        <v>#VALUE!</v>
      </c>
      <c r="C262" s="35"/>
      <c r="D262" s="35"/>
    </row>
    <row r="263" spans="1:4" x14ac:dyDescent="0.2">
      <c r="A263" s="102">
        <v>132</v>
      </c>
      <c r="B263" s="35" t="e">
        <f t="shared" ca="1" si="4"/>
        <v>#VALUE!</v>
      </c>
      <c r="C263" s="35"/>
      <c r="D263" s="35"/>
    </row>
    <row r="264" spans="1:4" x14ac:dyDescent="0.2">
      <c r="A264" s="102">
        <v>133</v>
      </c>
      <c r="B264" s="35" t="e">
        <f t="shared" ca="1" si="4"/>
        <v>#VALUE!</v>
      </c>
      <c r="C264" s="35"/>
      <c r="D264" s="35"/>
    </row>
    <row r="265" spans="1:4" x14ac:dyDescent="0.2">
      <c r="A265" s="102">
        <v>134</v>
      </c>
      <c r="B265" s="35" t="e">
        <f t="shared" ca="1" si="4"/>
        <v>#VALUE!</v>
      </c>
      <c r="C265" s="35"/>
      <c r="D265" s="35"/>
    </row>
    <row r="266" spans="1:4" x14ac:dyDescent="0.2">
      <c r="A266" s="102">
        <v>135</v>
      </c>
      <c r="B266" s="35" t="e">
        <f t="shared" ca="1" si="4"/>
        <v>#VALUE!</v>
      </c>
      <c r="C266" s="35"/>
      <c r="D266" s="35"/>
    </row>
    <row r="267" spans="1:4" x14ac:dyDescent="0.2">
      <c r="A267" s="102">
        <v>136</v>
      </c>
      <c r="B267" s="35" t="e">
        <f t="shared" ca="1" si="4"/>
        <v>#VALUE!</v>
      </c>
      <c r="C267" s="35"/>
      <c r="D267" s="35"/>
    </row>
    <row r="268" spans="1:4" x14ac:dyDescent="0.2">
      <c r="A268" s="102">
        <v>137</v>
      </c>
      <c r="B268" s="35" t="e">
        <f t="shared" ca="1" si="4"/>
        <v>#VALUE!</v>
      </c>
      <c r="C268" s="35"/>
      <c r="D268" s="35"/>
    </row>
    <row r="269" spans="1:4" x14ac:dyDescent="0.2">
      <c r="A269" s="102">
        <v>138</v>
      </c>
      <c r="B269" s="35" t="e">
        <f t="shared" ca="1" si="4"/>
        <v>#VALUE!</v>
      </c>
      <c r="C269" s="35"/>
      <c r="D269" s="35"/>
    </row>
    <row r="270" spans="1:4" x14ac:dyDescent="0.2">
      <c r="A270" s="102">
        <v>139</v>
      </c>
      <c r="B270" s="35" t="e">
        <f t="shared" ca="1" si="4"/>
        <v>#VALUE!</v>
      </c>
      <c r="C270" s="35"/>
      <c r="D270" s="35"/>
    </row>
    <row r="271" spans="1:4" x14ac:dyDescent="0.2">
      <c r="A271" s="102">
        <v>140</v>
      </c>
      <c r="B271" s="35" t="e">
        <f t="shared" ca="1" si="4"/>
        <v>#VALUE!</v>
      </c>
      <c r="C271" s="35"/>
      <c r="D271" s="35"/>
    </row>
    <row r="272" spans="1:4" x14ac:dyDescent="0.2">
      <c r="A272" s="102">
        <v>141</v>
      </c>
      <c r="B272" s="35" t="e">
        <f t="shared" ca="1" si="4"/>
        <v>#VALUE!</v>
      </c>
      <c r="C272" s="35"/>
      <c r="D272" s="35"/>
    </row>
    <row r="273" spans="1:4" x14ac:dyDescent="0.2">
      <c r="A273" s="102">
        <v>142</v>
      </c>
      <c r="B273" s="35" t="e">
        <f t="shared" ca="1" si="4"/>
        <v>#VALUE!</v>
      </c>
      <c r="C273" s="35"/>
      <c r="D273" s="35"/>
    </row>
    <row r="274" spans="1:4" x14ac:dyDescent="0.2">
      <c r="A274" s="102">
        <v>143</v>
      </c>
      <c r="B274" s="35" t="e">
        <f t="shared" ca="1" si="4"/>
        <v>#VALUE!</v>
      </c>
      <c r="C274" s="35"/>
      <c r="D274" s="35"/>
    </row>
    <row r="275" spans="1:4" x14ac:dyDescent="0.2">
      <c r="A275" s="102">
        <v>144</v>
      </c>
      <c r="B275" s="35" t="e">
        <f t="shared" ca="1" si="4"/>
        <v>#VALUE!</v>
      </c>
      <c r="C275" s="35"/>
      <c r="D275" s="35"/>
    </row>
    <row r="276" spans="1:4" x14ac:dyDescent="0.2">
      <c r="A276" s="102">
        <v>145</v>
      </c>
      <c r="B276" s="35" t="e">
        <f t="shared" ca="1" si="4"/>
        <v>#VALUE!</v>
      </c>
      <c r="C276" s="35"/>
      <c r="D276" s="35"/>
    </row>
    <row r="277" spans="1:4" x14ac:dyDescent="0.2">
      <c r="A277" s="102">
        <v>146</v>
      </c>
      <c r="B277" s="35" t="e">
        <f t="shared" ca="1" si="4"/>
        <v>#VALUE!</v>
      </c>
      <c r="C277" s="35"/>
      <c r="D277" s="35"/>
    </row>
    <row r="278" spans="1:4" x14ac:dyDescent="0.2">
      <c r="A278" s="102">
        <v>147</v>
      </c>
      <c r="B278" s="35" t="e">
        <f t="shared" ca="1" si="4"/>
        <v>#VALUE!</v>
      </c>
      <c r="C278" s="35"/>
      <c r="D278" s="35"/>
    </row>
    <row r="279" spans="1:4" x14ac:dyDescent="0.2">
      <c r="A279" s="102">
        <v>148</v>
      </c>
      <c r="B279" s="35" t="e">
        <f t="shared" ca="1" si="4"/>
        <v>#VALUE!</v>
      </c>
      <c r="C279" s="35"/>
      <c r="D279" s="35"/>
    </row>
    <row r="280" spans="1:4" x14ac:dyDescent="0.2">
      <c r="A280" s="102">
        <v>149</v>
      </c>
      <c r="B280" s="35" t="e">
        <f t="shared" ca="1" si="4"/>
        <v>#VALUE!</v>
      </c>
      <c r="C280" s="35"/>
      <c r="D280" s="35"/>
    </row>
    <row r="281" spans="1:4" x14ac:dyDescent="0.2">
      <c r="A281" s="102">
        <v>150</v>
      </c>
      <c r="B281" s="35" t="e">
        <f t="shared" ca="1" si="4"/>
        <v>#VALUE!</v>
      </c>
      <c r="C281" s="35"/>
      <c r="D281" s="35"/>
    </row>
    <row r="282" spans="1:4" x14ac:dyDescent="0.2">
      <c r="A282" s="102">
        <v>151</v>
      </c>
      <c r="B282" s="35" t="e">
        <f t="shared" ca="1" si="4"/>
        <v>#VALUE!</v>
      </c>
      <c r="C282" s="35"/>
      <c r="D282" s="35"/>
    </row>
    <row r="283" spans="1:4" x14ac:dyDescent="0.2">
      <c r="A283" s="102">
        <v>152</v>
      </c>
      <c r="B283" s="35" t="e">
        <f t="shared" ca="1" si="4"/>
        <v>#VALUE!</v>
      </c>
      <c r="C283" s="35"/>
      <c r="D283" s="35"/>
    </row>
    <row r="284" spans="1:4" x14ac:dyDescent="0.2">
      <c r="A284" s="102">
        <v>153</v>
      </c>
      <c r="B284" s="35" t="e">
        <f t="shared" ca="1" si="4"/>
        <v>#VALUE!</v>
      </c>
      <c r="C284" s="35"/>
      <c r="D284" s="35"/>
    </row>
    <row r="285" spans="1:4" x14ac:dyDescent="0.2">
      <c r="A285" s="102">
        <v>154</v>
      </c>
      <c r="B285" s="35" t="e">
        <f t="shared" ca="1" si="4"/>
        <v>#VALUE!</v>
      </c>
      <c r="C285" s="35"/>
      <c r="D285" s="35"/>
    </row>
    <row r="286" spans="1:4" x14ac:dyDescent="0.2">
      <c r="A286" s="102">
        <v>155</v>
      </c>
      <c r="B286" s="35" t="e">
        <f t="shared" ca="1" si="4"/>
        <v>#VALUE!</v>
      </c>
      <c r="C286" s="35"/>
      <c r="D286" s="35"/>
    </row>
    <row r="287" spans="1:4" x14ac:dyDescent="0.2">
      <c r="A287" s="102">
        <v>156</v>
      </c>
      <c r="B287" s="35" t="e">
        <f t="shared" ca="1" si="4"/>
        <v>#VALUE!</v>
      </c>
      <c r="C287" s="35"/>
      <c r="D287" s="35"/>
    </row>
    <row r="288" spans="1:4" x14ac:dyDescent="0.2">
      <c r="A288" s="102">
        <v>157</v>
      </c>
      <c r="B288" s="35" t="e">
        <f t="shared" ca="1" si="4"/>
        <v>#VALUE!</v>
      </c>
      <c r="C288" s="35"/>
      <c r="D288" s="35"/>
    </row>
    <row r="289" spans="1:4" x14ac:dyDescent="0.2">
      <c r="A289" s="102">
        <v>158</v>
      </c>
      <c r="B289" s="35" t="e">
        <f t="shared" ref="B289:B352" ca="1" si="5">EPR_calc(A289)</f>
        <v>#VALUE!</v>
      </c>
      <c r="C289" s="35"/>
      <c r="D289" s="35"/>
    </row>
    <row r="290" spans="1:4" x14ac:dyDescent="0.2">
      <c r="A290" s="102">
        <v>159</v>
      </c>
      <c r="B290" s="35" t="e">
        <f t="shared" ca="1" si="5"/>
        <v>#VALUE!</v>
      </c>
      <c r="C290" s="35"/>
      <c r="D290" s="35"/>
    </row>
    <row r="291" spans="1:4" x14ac:dyDescent="0.2">
      <c r="A291" s="102">
        <v>160</v>
      </c>
      <c r="B291" s="35" t="e">
        <f t="shared" ca="1" si="5"/>
        <v>#VALUE!</v>
      </c>
      <c r="C291" s="35"/>
      <c r="D291" s="35"/>
    </row>
    <row r="292" spans="1:4" x14ac:dyDescent="0.2">
      <c r="A292" s="102">
        <v>161</v>
      </c>
      <c r="B292" s="35" t="e">
        <f t="shared" ca="1" si="5"/>
        <v>#VALUE!</v>
      </c>
      <c r="C292" s="35"/>
      <c r="D292" s="35"/>
    </row>
    <row r="293" spans="1:4" x14ac:dyDescent="0.2">
      <c r="A293" s="102">
        <v>162</v>
      </c>
      <c r="B293" s="35" t="e">
        <f t="shared" ca="1" si="5"/>
        <v>#VALUE!</v>
      </c>
      <c r="C293" s="35"/>
      <c r="D293" s="35"/>
    </row>
    <row r="294" spans="1:4" x14ac:dyDescent="0.2">
      <c r="A294" s="102">
        <v>163</v>
      </c>
      <c r="B294" s="35" t="e">
        <f t="shared" ca="1" si="5"/>
        <v>#VALUE!</v>
      </c>
      <c r="C294" s="35"/>
      <c r="D294" s="35"/>
    </row>
    <row r="295" spans="1:4" x14ac:dyDescent="0.2">
      <c r="A295" s="102">
        <v>164</v>
      </c>
      <c r="B295" s="35" t="e">
        <f t="shared" ca="1" si="5"/>
        <v>#VALUE!</v>
      </c>
      <c r="C295" s="35"/>
      <c r="D295" s="35"/>
    </row>
    <row r="296" spans="1:4" x14ac:dyDescent="0.2">
      <c r="A296" s="102">
        <v>165</v>
      </c>
      <c r="B296" s="35" t="e">
        <f t="shared" ca="1" si="5"/>
        <v>#VALUE!</v>
      </c>
      <c r="C296" s="35"/>
      <c r="D296" s="35"/>
    </row>
    <row r="297" spans="1:4" x14ac:dyDescent="0.2">
      <c r="A297" s="102">
        <v>166</v>
      </c>
      <c r="B297" s="35" t="e">
        <f t="shared" ca="1" si="5"/>
        <v>#VALUE!</v>
      </c>
      <c r="C297" s="35"/>
      <c r="D297" s="35"/>
    </row>
    <row r="298" spans="1:4" x14ac:dyDescent="0.2">
      <c r="A298" s="102">
        <v>167</v>
      </c>
      <c r="B298" s="35" t="e">
        <f t="shared" ca="1" si="5"/>
        <v>#VALUE!</v>
      </c>
      <c r="C298" s="35"/>
      <c r="D298" s="35"/>
    </row>
    <row r="299" spans="1:4" x14ac:dyDescent="0.2">
      <c r="A299" s="102">
        <v>168</v>
      </c>
      <c r="B299" s="35" t="e">
        <f t="shared" ca="1" si="5"/>
        <v>#VALUE!</v>
      </c>
      <c r="C299" s="35"/>
      <c r="D299" s="35"/>
    </row>
    <row r="300" spans="1:4" x14ac:dyDescent="0.2">
      <c r="A300" s="102">
        <v>169</v>
      </c>
      <c r="B300" s="35" t="e">
        <f t="shared" ca="1" si="5"/>
        <v>#VALUE!</v>
      </c>
      <c r="C300" s="35"/>
      <c r="D300" s="35"/>
    </row>
    <row r="301" spans="1:4" x14ac:dyDescent="0.2">
      <c r="A301" s="102">
        <v>170</v>
      </c>
      <c r="B301" s="35" t="e">
        <f t="shared" ca="1" si="5"/>
        <v>#VALUE!</v>
      </c>
      <c r="C301" s="35"/>
      <c r="D301" s="35"/>
    </row>
    <row r="302" spans="1:4" x14ac:dyDescent="0.2">
      <c r="A302" s="102">
        <v>171</v>
      </c>
      <c r="B302" s="35" t="e">
        <f t="shared" ca="1" si="5"/>
        <v>#VALUE!</v>
      </c>
      <c r="C302" s="35"/>
      <c r="D302" s="35"/>
    </row>
    <row r="303" spans="1:4" x14ac:dyDescent="0.2">
      <c r="A303" s="102">
        <v>172</v>
      </c>
      <c r="B303" s="35" t="e">
        <f t="shared" ca="1" si="5"/>
        <v>#VALUE!</v>
      </c>
      <c r="C303" s="35"/>
      <c r="D303" s="35"/>
    </row>
    <row r="304" spans="1:4" x14ac:dyDescent="0.2">
      <c r="A304" s="102">
        <v>173</v>
      </c>
      <c r="B304" s="35" t="e">
        <f t="shared" ca="1" si="5"/>
        <v>#VALUE!</v>
      </c>
      <c r="C304" s="35"/>
      <c r="D304" s="35"/>
    </row>
    <row r="305" spans="1:4" x14ac:dyDescent="0.2">
      <c r="A305" s="102">
        <v>174</v>
      </c>
      <c r="B305" s="35" t="e">
        <f t="shared" ca="1" si="5"/>
        <v>#VALUE!</v>
      </c>
      <c r="C305" s="35"/>
      <c r="D305" s="35"/>
    </row>
    <row r="306" spans="1:4" x14ac:dyDescent="0.2">
      <c r="A306" s="102">
        <v>175</v>
      </c>
      <c r="B306" s="35" t="e">
        <f t="shared" ca="1" si="5"/>
        <v>#VALUE!</v>
      </c>
      <c r="C306" s="35"/>
      <c r="D306" s="35"/>
    </row>
    <row r="307" spans="1:4" x14ac:dyDescent="0.2">
      <c r="A307" s="102">
        <v>176</v>
      </c>
      <c r="B307" s="35" t="e">
        <f t="shared" ca="1" si="5"/>
        <v>#VALUE!</v>
      </c>
      <c r="C307" s="35"/>
      <c r="D307" s="35"/>
    </row>
    <row r="308" spans="1:4" x14ac:dyDescent="0.2">
      <c r="A308" s="102">
        <v>177</v>
      </c>
      <c r="B308" s="35" t="e">
        <f t="shared" ca="1" si="5"/>
        <v>#VALUE!</v>
      </c>
      <c r="C308" s="35"/>
      <c r="D308" s="35"/>
    </row>
    <row r="309" spans="1:4" x14ac:dyDescent="0.2">
      <c r="A309" s="102">
        <v>178</v>
      </c>
      <c r="B309" s="35" t="e">
        <f t="shared" ca="1" si="5"/>
        <v>#VALUE!</v>
      </c>
      <c r="C309" s="35"/>
      <c r="D309" s="35"/>
    </row>
    <row r="310" spans="1:4" x14ac:dyDescent="0.2">
      <c r="A310" s="102">
        <v>179</v>
      </c>
      <c r="B310" s="35" t="e">
        <f t="shared" ca="1" si="5"/>
        <v>#VALUE!</v>
      </c>
      <c r="C310" s="35"/>
      <c r="D310" s="35"/>
    </row>
    <row r="311" spans="1:4" x14ac:dyDescent="0.2">
      <c r="A311" s="102">
        <v>180</v>
      </c>
      <c r="B311" s="35" t="e">
        <f t="shared" ca="1" si="5"/>
        <v>#VALUE!</v>
      </c>
      <c r="C311" s="35"/>
      <c r="D311" s="35"/>
    </row>
    <row r="312" spans="1:4" x14ac:dyDescent="0.2">
      <c r="A312" s="102">
        <v>181</v>
      </c>
      <c r="B312" s="35" t="e">
        <f t="shared" ca="1" si="5"/>
        <v>#VALUE!</v>
      </c>
      <c r="C312" s="35"/>
      <c r="D312" s="35"/>
    </row>
    <row r="313" spans="1:4" x14ac:dyDescent="0.2">
      <c r="A313" s="102">
        <v>182</v>
      </c>
      <c r="B313" s="35" t="e">
        <f t="shared" ca="1" si="5"/>
        <v>#VALUE!</v>
      </c>
      <c r="C313" s="35"/>
      <c r="D313" s="35"/>
    </row>
    <row r="314" spans="1:4" x14ac:dyDescent="0.2">
      <c r="A314" s="102">
        <v>183</v>
      </c>
      <c r="B314" s="35" t="e">
        <f t="shared" ca="1" si="5"/>
        <v>#VALUE!</v>
      </c>
      <c r="C314" s="35"/>
      <c r="D314" s="35"/>
    </row>
    <row r="315" spans="1:4" x14ac:dyDescent="0.2">
      <c r="A315" s="102">
        <v>184</v>
      </c>
      <c r="B315" s="35" t="e">
        <f t="shared" ca="1" si="5"/>
        <v>#VALUE!</v>
      </c>
      <c r="C315" s="35"/>
      <c r="D315" s="35"/>
    </row>
    <row r="316" spans="1:4" x14ac:dyDescent="0.2">
      <c r="A316" s="102">
        <v>185</v>
      </c>
      <c r="B316" s="35" t="e">
        <f t="shared" ca="1" si="5"/>
        <v>#VALUE!</v>
      </c>
      <c r="C316" s="35"/>
      <c r="D316" s="35"/>
    </row>
    <row r="317" spans="1:4" x14ac:dyDescent="0.2">
      <c r="A317" s="102">
        <v>186</v>
      </c>
      <c r="B317" s="35" t="e">
        <f t="shared" ca="1" si="5"/>
        <v>#VALUE!</v>
      </c>
      <c r="C317" s="35"/>
      <c r="D317" s="35"/>
    </row>
    <row r="318" spans="1:4" x14ac:dyDescent="0.2">
      <c r="A318" s="102">
        <v>187</v>
      </c>
      <c r="B318" s="35" t="e">
        <f t="shared" ca="1" si="5"/>
        <v>#VALUE!</v>
      </c>
      <c r="C318" s="35"/>
      <c r="D318" s="35"/>
    </row>
    <row r="319" spans="1:4" x14ac:dyDescent="0.2">
      <c r="A319" s="102">
        <v>188</v>
      </c>
      <c r="B319" s="35" t="e">
        <f t="shared" ca="1" si="5"/>
        <v>#VALUE!</v>
      </c>
      <c r="C319" s="35"/>
      <c r="D319" s="35"/>
    </row>
    <row r="320" spans="1:4" x14ac:dyDescent="0.2">
      <c r="A320" s="102">
        <v>189</v>
      </c>
      <c r="B320" s="35" t="e">
        <f t="shared" ca="1" si="5"/>
        <v>#VALUE!</v>
      </c>
      <c r="C320" s="35"/>
      <c r="D320" s="35"/>
    </row>
    <row r="321" spans="1:4" x14ac:dyDescent="0.2">
      <c r="A321" s="102">
        <v>190</v>
      </c>
      <c r="B321" s="35" t="e">
        <f t="shared" ca="1" si="5"/>
        <v>#VALUE!</v>
      </c>
      <c r="C321" s="35"/>
      <c r="D321" s="35"/>
    </row>
    <row r="322" spans="1:4" x14ac:dyDescent="0.2">
      <c r="A322" s="102">
        <v>191</v>
      </c>
      <c r="B322" s="35" t="e">
        <f t="shared" ca="1" si="5"/>
        <v>#VALUE!</v>
      </c>
      <c r="C322" s="35"/>
      <c r="D322" s="35"/>
    </row>
    <row r="323" spans="1:4" x14ac:dyDescent="0.2">
      <c r="A323" s="102">
        <v>192</v>
      </c>
      <c r="B323" s="35" t="e">
        <f t="shared" ca="1" si="5"/>
        <v>#VALUE!</v>
      </c>
      <c r="C323" s="35"/>
      <c r="D323" s="35"/>
    </row>
    <row r="324" spans="1:4" x14ac:dyDescent="0.2">
      <c r="A324" s="102">
        <v>193</v>
      </c>
      <c r="B324" s="35" t="e">
        <f t="shared" ca="1" si="5"/>
        <v>#VALUE!</v>
      </c>
      <c r="C324" s="35"/>
      <c r="D324" s="35"/>
    </row>
    <row r="325" spans="1:4" x14ac:dyDescent="0.2">
      <c r="A325" s="102">
        <v>194</v>
      </c>
      <c r="B325" s="35" t="e">
        <f t="shared" ca="1" si="5"/>
        <v>#VALUE!</v>
      </c>
      <c r="C325" s="35"/>
      <c r="D325" s="35"/>
    </row>
    <row r="326" spans="1:4" x14ac:dyDescent="0.2">
      <c r="A326" s="102">
        <v>195</v>
      </c>
      <c r="B326" s="35" t="e">
        <f t="shared" ca="1" si="5"/>
        <v>#VALUE!</v>
      </c>
      <c r="C326" s="35"/>
      <c r="D326" s="35"/>
    </row>
    <row r="327" spans="1:4" x14ac:dyDescent="0.2">
      <c r="A327" s="102">
        <v>196</v>
      </c>
      <c r="B327" s="35" t="e">
        <f t="shared" ca="1" si="5"/>
        <v>#VALUE!</v>
      </c>
      <c r="C327" s="35"/>
      <c r="D327" s="35"/>
    </row>
    <row r="328" spans="1:4" x14ac:dyDescent="0.2">
      <c r="A328" s="102">
        <v>197</v>
      </c>
      <c r="B328" s="35" t="e">
        <f t="shared" ca="1" si="5"/>
        <v>#VALUE!</v>
      </c>
      <c r="C328" s="35"/>
      <c r="D328" s="35"/>
    </row>
    <row r="329" spans="1:4" x14ac:dyDescent="0.2">
      <c r="A329" s="102">
        <v>198</v>
      </c>
      <c r="B329" s="35" t="e">
        <f t="shared" ca="1" si="5"/>
        <v>#VALUE!</v>
      </c>
      <c r="C329" s="35"/>
      <c r="D329" s="35"/>
    </row>
    <row r="330" spans="1:4" x14ac:dyDescent="0.2">
      <c r="A330" s="102">
        <v>199</v>
      </c>
      <c r="B330" s="35" t="e">
        <f t="shared" ca="1" si="5"/>
        <v>#VALUE!</v>
      </c>
      <c r="C330" s="35"/>
      <c r="D330" s="35"/>
    </row>
    <row r="331" spans="1:4" x14ac:dyDescent="0.2">
      <c r="A331" s="102">
        <v>200</v>
      </c>
      <c r="B331" s="35" t="e">
        <f t="shared" ca="1" si="5"/>
        <v>#VALUE!</v>
      </c>
      <c r="C331" s="35"/>
      <c r="D331" s="35"/>
    </row>
    <row r="332" spans="1:4" x14ac:dyDescent="0.2">
      <c r="A332" s="102">
        <v>201</v>
      </c>
      <c r="B332" s="35" t="e">
        <f t="shared" ca="1" si="5"/>
        <v>#VALUE!</v>
      </c>
      <c r="C332" s="35"/>
      <c r="D332" s="35"/>
    </row>
    <row r="333" spans="1:4" x14ac:dyDescent="0.2">
      <c r="A333" s="102">
        <v>202</v>
      </c>
      <c r="B333" s="35" t="e">
        <f t="shared" ca="1" si="5"/>
        <v>#VALUE!</v>
      </c>
      <c r="C333" s="35"/>
      <c r="D333" s="35"/>
    </row>
    <row r="334" spans="1:4" x14ac:dyDescent="0.2">
      <c r="A334" s="102">
        <v>203</v>
      </c>
      <c r="B334" s="35" t="e">
        <f t="shared" ca="1" si="5"/>
        <v>#VALUE!</v>
      </c>
      <c r="C334" s="35"/>
      <c r="D334" s="35"/>
    </row>
    <row r="335" spans="1:4" x14ac:dyDescent="0.2">
      <c r="A335" s="102">
        <v>204</v>
      </c>
      <c r="B335" s="35" t="e">
        <f t="shared" ca="1" si="5"/>
        <v>#VALUE!</v>
      </c>
      <c r="C335" s="35"/>
      <c r="D335" s="35"/>
    </row>
    <row r="336" spans="1:4" x14ac:dyDescent="0.2">
      <c r="A336" s="102">
        <v>205</v>
      </c>
      <c r="B336" s="35" t="e">
        <f t="shared" ca="1" si="5"/>
        <v>#VALUE!</v>
      </c>
      <c r="C336" s="35"/>
      <c r="D336" s="35"/>
    </row>
    <row r="337" spans="1:4" x14ac:dyDescent="0.2">
      <c r="A337" s="102">
        <v>206</v>
      </c>
      <c r="B337" s="35" t="e">
        <f t="shared" ca="1" si="5"/>
        <v>#VALUE!</v>
      </c>
      <c r="C337" s="35"/>
      <c r="D337" s="35"/>
    </row>
    <row r="338" spans="1:4" x14ac:dyDescent="0.2">
      <c r="A338" s="102">
        <v>207</v>
      </c>
      <c r="B338" s="35" t="e">
        <f t="shared" ca="1" si="5"/>
        <v>#VALUE!</v>
      </c>
      <c r="C338" s="35"/>
      <c r="D338" s="35"/>
    </row>
    <row r="339" spans="1:4" x14ac:dyDescent="0.2">
      <c r="A339" s="102">
        <v>208</v>
      </c>
      <c r="B339" s="35" t="e">
        <f t="shared" ca="1" si="5"/>
        <v>#VALUE!</v>
      </c>
      <c r="C339" s="35"/>
      <c r="D339" s="35"/>
    </row>
    <row r="340" spans="1:4" x14ac:dyDescent="0.2">
      <c r="A340" s="102">
        <v>209</v>
      </c>
      <c r="B340" s="35" t="e">
        <f t="shared" ca="1" si="5"/>
        <v>#VALUE!</v>
      </c>
      <c r="C340" s="35"/>
      <c r="D340" s="35"/>
    </row>
    <row r="341" spans="1:4" x14ac:dyDescent="0.2">
      <c r="A341" s="102">
        <v>210</v>
      </c>
      <c r="B341" s="35" t="e">
        <f t="shared" ca="1" si="5"/>
        <v>#VALUE!</v>
      </c>
      <c r="C341" s="35"/>
      <c r="D341" s="35"/>
    </row>
    <row r="342" spans="1:4" x14ac:dyDescent="0.2">
      <c r="A342" s="102">
        <v>211</v>
      </c>
      <c r="B342" s="35" t="e">
        <f t="shared" ca="1" si="5"/>
        <v>#VALUE!</v>
      </c>
      <c r="C342" s="35"/>
      <c r="D342" s="35"/>
    </row>
    <row r="343" spans="1:4" x14ac:dyDescent="0.2">
      <c r="A343" s="102">
        <v>212</v>
      </c>
      <c r="B343" s="35" t="e">
        <f t="shared" ca="1" si="5"/>
        <v>#VALUE!</v>
      </c>
      <c r="C343" s="35"/>
      <c r="D343" s="35"/>
    </row>
    <row r="344" spans="1:4" x14ac:dyDescent="0.2">
      <c r="A344" s="102">
        <v>213</v>
      </c>
      <c r="B344" s="35" t="e">
        <f t="shared" ca="1" si="5"/>
        <v>#VALUE!</v>
      </c>
      <c r="C344" s="35"/>
      <c r="D344" s="35"/>
    </row>
    <row r="345" spans="1:4" x14ac:dyDescent="0.2">
      <c r="A345" s="102">
        <v>214</v>
      </c>
      <c r="B345" s="35" t="e">
        <f t="shared" ca="1" si="5"/>
        <v>#VALUE!</v>
      </c>
      <c r="C345" s="35"/>
      <c r="D345" s="35"/>
    </row>
    <row r="346" spans="1:4" x14ac:dyDescent="0.2">
      <c r="A346" s="102">
        <v>215</v>
      </c>
      <c r="B346" s="35" t="e">
        <f t="shared" ca="1" si="5"/>
        <v>#VALUE!</v>
      </c>
      <c r="C346" s="35"/>
      <c r="D346" s="35"/>
    </row>
    <row r="347" spans="1:4" x14ac:dyDescent="0.2">
      <c r="A347" s="102">
        <v>216</v>
      </c>
      <c r="B347" s="35" t="e">
        <f t="shared" ca="1" si="5"/>
        <v>#VALUE!</v>
      </c>
      <c r="C347" s="35"/>
      <c r="D347" s="35"/>
    </row>
    <row r="348" spans="1:4" x14ac:dyDescent="0.2">
      <c r="A348" s="102">
        <v>217</v>
      </c>
      <c r="B348" s="35" t="e">
        <f t="shared" ca="1" si="5"/>
        <v>#VALUE!</v>
      </c>
      <c r="C348" s="35"/>
      <c r="D348" s="35"/>
    </row>
    <row r="349" spans="1:4" x14ac:dyDescent="0.2">
      <c r="A349" s="102">
        <v>218</v>
      </c>
      <c r="B349" s="35" t="e">
        <f t="shared" ca="1" si="5"/>
        <v>#VALUE!</v>
      </c>
      <c r="C349" s="35"/>
      <c r="D349" s="35"/>
    </row>
    <row r="350" spans="1:4" x14ac:dyDescent="0.2">
      <c r="A350" s="102">
        <v>219</v>
      </c>
      <c r="B350" s="35" t="e">
        <f t="shared" ca="1" si="5"/>
        <v>#VALUE!</v>
      </c>
      <c r="C350" s="35"/>
      <c r="D350" s="35"/>
    </row>
    <row r="351" spans="1:4" x14ac:dyDescent="0.2">
      <c r="A351" s="102">
        <v>220</v>
      </c>
      <c r="B351" s="35" t="e">
        <f t="shared" ca="1" si="5"/>
        <v>#VALUE!</v>
      </c>
      <c r="C351" s="35"/>
      <c r="D351" s="35"/>
    </row>
    <row r="352" spans="1:4" x14ac:dyDescent="0.2">
      <c r="A352" s="102">
        <v>221</v>
      </c>
      <c r="B352" s="35" t="e">
        <f t="shared" ca="1" si="5"/>
        <v>#VALUE!</v>
      </c>
      <c r="C352" s="35"/>
      <c r="D352" s="35"/>
    </row>
    <row r="353" spans="1:4" x14ac:dyDescent="0.2">
      <c r="A353" s="102">
        <v>222</v>
      </c>
      <c r="B353" s="35" t="e">
        <f t="shared" ref="B353:B416" ca="1" si="6">EPR_calc(A353)</f>
        <v>#VALUE!</v>
      </c>
      <c r="C353" s="35"/>
      <c r="D353" s="35"/>
    </row>
    <row r="354" spans="1:4" x14ac:dyDescent="0.2">
      <c r="A354" s="102">
        <v>223</v>
      </c>
      <c r="B354" s="35" t="e">
        <f t="shared" ca="1" si="6"/>
        <v>#VALUE!</v>
      </c>
      <c r="C354" s="35"/>
      <c r="D354" s="35"/>
    </row>
    <row r="355" spans="1:4" x14ac:dyDescent="0.2">
      <c r="A355" s="102">
        <v>224</v>
      </c>
      <c r="B355" s="35" t="e">
        <f t="shared" ca="1" si="6"/>
        <v>#VALUE!</v>
      </c>
      <c r="C355" s="35"/>
      <c r="D355" s="35"/>
    </row>
    <row r="356" spans="1:4" x14ac:dyDescent="0.2">
      <c r="A356" s="102">
        <v>225</v>
      </c>
      <c r="B356" s="35" t="e">
        <f t="shared" ca="1" si="6"/>
        <v>#VALUE!</v>
      </c>
      <c r="C356" s="35"/>
      <c r="D356" s="35"/>
    </row>
    <row r="357" spans="1:4" x14ac:dyDescent="0.2">
      <c r="A357" s="102">
        <v>226</v>
      </c>
      <c r="B357" s="35" t="e">
        <f t="shared" ca="1" si="6"/>
        <v>#VALUE!</v>
      </c>
      <c r="C357" s="35"/>
      <c r="D357" s="35"/>
    </row>
    <row r="358" spans="1:4" x14ac:dyDescent="0.2">
      <c r="A358" s="102">
        <v>227</v>
      </c>
      <c r="B358" s="35" t="e">
        <f t="shared" ca="1" si="6"/>
        <v>#VALUE!</v>
      </c>
      <c r="C358" s="35"/>
      <c r="D358" s="35"/>
    </row>
    <row r="359" spans="1:4" x14ac:dyDescent="0.2">
      <c r="A359" s="102">
        <v>228</v>
      </c>
      <c r="B359" s="35" t="e">
        <f t="shared" ca="1" si="6"/>
        <v>#VALUE!</v>
      </c>
      <c r="C359" s="35"/>
      <c r="D359" s="35"/>
    </row>
    <row r="360" spans="1:4" x14ac:dyDescent="0.2">
      <c r="A360" s="102">
        <v>229</v>
      </c>
      <c r="B360" s="35" t="e">
        <f t="shared" ca="1" si="6"/>
        <v>#VALUE!</v>
      </c>
      <c r="C360" s="35"/>
      <c r="D360" s="35"/>
    </row>
    <row r="361" spans="1:4" x14ac:dyDescent="0.2">
      <c r="A361" s="102">
        <v>230</v>
      </c>
      <c r="B361" s="35" t="e">
        <f t="shared" ca="1" si="6"/>
        <v>#VALUE!</v>
      </c>
      <c r="C361" s="35"/>
      <c r="D361" s="35"/>
    </row>
    <row r="362" spans="1:4" x14ac:dyDescent="0.2">
      <c r="A362" s="102">
        <v>231</v>
      </c>
      <c r="B362" s="35" t="e">
        <f t="shared" ca="1" si="6"/>
        <v>#VALUE!</v>
      </c>
      <c r="C362" s="35"/>
      <c r="D362" s="35"/>
    </row>
    <row r="363" spans="1:4" x14ac:dyDescent="0.2">
      <c r="A363" s="102">
        <v>232</v>
      </c>
      <c r="B363" s="35" t="e">
        <f t="shared" ca="1" si="6"/>
        <v>#VALUE!</v>
      </c>
      <c r="C363" s="35"/>
      <c r="D363" s="35"/>
    </row>
    <row r="364" spans="1:4" x14ac:dyDescent="0.2">
      <c r="A364" s="102">
        <v>233</v>
      </c>
      <c r="B364" s="35" t="e">
        <f t="shared" ca="1" si="6"/>
        <v>#VALUE!</v>
      </c>
      <c r="C364" s="35"/>
      <c r="D364" s="35"/>
    </row>
    <row r="365" spans="1:4" x14ac:dyDescent="0.2">
      <c r="A365" s="102">
        <v>234</v>
      </c>
      <c r="B365" s="35" t="e">
        <f t="shared" ca="1" si="6"/>
        <v>#VALUE!</v>
      </c>
      <c r="C365" s="35"/>
      <c r="D365" s="35"/>
    </row>
    <row r="366" spans="1:4" x14ac:dyDescent="0.2">
      <c r="A366" s="102">
        <v>235</v>
      </c>
      <c r="B366" s="35" t="e">
        <f t="shared" ca="1" si="6"/>
        <v>#VALUE!</v>
      </c>
      <c r="C366" s="35"/>
      <c r="D366" s="35"/>
    </row>
    <row r="367" spans="1:4" x14ac:dyDescent="0.2">
      <c r="A367" s="102">
        <v>236</v>
      </c>
      <c r="B367" s="35" t="e">
        <f t="shared" ca="1" si="6"/>
        <v>#VALUE!</v>
      </c>
      <c r="C367" s="35"/>
      <c r="D367" s="35"/>
    </row>
    <row r="368" spans="1:4" x14ac:dyDescent="0.2">
      <c r="A368" s="102">
        <v>237</v>
      </c>
      <c r="B368" s="35" t="e">
        <f t="shared" ca="1" si="6"/>
        <v>#VALUE!</v>
      </c>
      <c r="C368" s="35"/>
      <c r="D368" s="35"/>
    </row>
    <row r="369" spans="1:4" x14ac:dyDescent="0.2">
      <c r="A369" s="102">
        <v>238</v>
      </c>
      <c r="B369" s="35" t="e">
        <f t="shared" ca="1" si="6"/>
        <v>#VALUE!</v>
      </c>
      <c r="C369" s="35"/>
      <c r="D369" s="35"/>
    </row>
    <row r="370" spans="1:4" x14ac:dyDescent="0.2">
      <c r="A370" s="102">
        <v>239</v>
      </c>
      <c r="B370" s="35" t="e">
        <f t="shared" ca="1" si="6"/>
        <v>#VALUE!</v>
      </c>
      <c r="C370" s="35"/>
      <c r="D370" s="35"/>
    </row>
    <row r="371" spans="1:4" x14ac:dyDescent="0.2">
      <c r="A371" s="102">
        <v>240</v>
      </c>
      <c r="B371" s="35" t="e">
        <f t="shared" ca="1" si="6"/>
        <v>#VALUE!</v>
      </c>
      <c r="C371" s="35"/>
      <c r="D371" s="35"/>
    </row>
    <row r="372" spans="1:4" x14ac:dyDescent="0.2">
      <c r="A372" s="102">
        <v>241</v>
      </c>
      <c r="B372" s="35" t="e">
        <f t="shared" ca="1" si="6"/>
        <v>#VALUE!</v>
      </c>
      <c r="C372" s="35"/>
      <c r="D372" s="35"/>
    </row>
    <row r="373" spans="1:4" x14ac:dyDescent="0.2">
      <c r="A373" s="102">
        <v>242</v>
      </c>
      <c r="B373" s="35" t="e">
        <f t="shared" ca="1" si="6"/>
        <v>#VALUE!</v>
      </c>
      <c r="C373" s="35"/>
      <c r="D373" s="35"/>
    </row>
    <row r="374" spans="1:4" x14ac:dyDescent="0.2">
      <c r="A374" s="102">
        <v>243</v>
      </c>
      <c r="B374" s="35" t="e">
        <f t="shared" ca="1" si="6"/>
        <v>#VALUE!</v>
      </c>
      <c r="C374" s="35"/>
      <c r="D374" s="35"/>
    </row>
    <row r="375" spans="1:4" x14ac:dyDescent="0.2">
      <c r="A375" s="102">
        <v>244</v>
      </c>
      <c r="B375" s="35" t="e">
        <f t="shared" ca="1" si="6"/>
        <v>#VALUE!</v>
      </c>
      <c r="C375" s="35"/>
      <c r="D375" s="35"/>
    </row>
    <row r="376" spans="1:4" x14ac:dyDescent="0.2">
      <c r="A376" s="102">
        <v>245</v>
      </c>
      <c r="B376" s="35" t="e">
        <f t="shared" ca="1" si="6"/>
        <v>#VALUE!</v>
      </c>
      <c r="C376" s="35"/>
      <c r="D376" s="35"/>
    </row>
    <row r="377" spans="1:4" x14ac:dyDescent="0.2">
      <c r="A377" s="102">
        <v>246</v>
      </c>
      <c r="B377" s="35" t="e">
        <f t="shared" ca="1" si="6"/>
        <v>#VALUE!</v>
      </c>
      <c r="C377" s="35"/>
      <c r="D377" s="35"/>
    </row>
    <row r="378" spans="1:4" x14ac:dyDescent="0.2">
      <c r="A378" s="102">
        <v>247</v>
      </c>
      <c r="B378" s="35" t="e">
        <f t="shared" ca="1" si="6"/>
        <v>#VALUE!</v>
      </c>
      <c r="C378" s="35"/>
      <c r="D378" s="35"/>
    </row>
    <row r="379" spans="1:4" x14ac:dyDescent="0.2">
      <c r="A379" s="102">
        <v>248</v>
      </c>
      <c r="B379" s="35" t="e">
        <f t="shared" ca="1" si="6"/>
        <v>#VALUE!</v>
      </c>
      <c r="C379" s="35"/>
      <c r="D379" s="35"/>
    </row>
    <row r="380" spans="1:4" x14ac:dyDescent="0.2">
      <c r="A380" s="102">
        <v>249</v>
      </c>
      <c r="B380" s="35" t="e">
        <f t="shared" ca="1" si="6"/>
        <v>#VALUE!</v>
      </c>
      <c r="C380" s="35"/>
      <c r="D380" s="35"/>
    </row>
    <row r="381" spans="1:4" x14ac:dyDescent="0.2">
      <c r="A381" s="102">
        <v>250</v>
      </c>
      <c r="B381" s="35" t="e">
        <f t="shared" ca="1" si="6"/>
        <v>#VALUE!</v>
      </c>
      <c r="C381" s="35"/>
      <c r="D381" s="35"/>
    </row>
    <row r="382" spans="1:4" x14ac:dyDescent="0.2">
      <c r="A382" s="102">
        <v>251</v>
      </c>
      <c r="B382" s="35" t="e">
        <f t="shared" ca="1" si="6"/>
        <v>#VALUE!</v>
      </c>
      <c r="C382" s="35"/>
      <c r="D382" s="35"/>
    </row>
    <row r="383" spans="1:4" x14ac:dyDescent="0.2">
      <c r="A383" s="102">
        <v>252</v>
      </c>
      <c r="B383" s="35" t="e">
        <f t="shared" ca="1" si="6"/>
        <v>#VALUE!</v>
      </c>
      <c r="C383" s="35"/>
      <c r="D383" s="35"/>
    </row>
    <row r="384" spans="1:4" x14ac:dyDescent="0.2">
      <c r="A384" s="102">
        <v>253</v>
      </c>
      <c r="B384" s="35" t="e">
        <f t="shared" ca="1" si="6"/>
        <v>#VALUE!</v>
      </c>
      <c r="C384" s="35"/>
      <c r="D384" s="35"/>
    </row>
    <row r="385" spans="1:4" x14ac:dyDescent="0.2">
      <c r="A385" s="102">
        <v>254</v>
      </c>
      <c r="B385" s="35" t="e">
        <f t="shared" ca="1" si="6"/>
        <v>#VALUE!</v>
      </c>
      <c r="C385" s="35"/>
      <c r="D385" s="35"/>
    </row>
    <row r="386" spans="1:4" x14ac:dyDescent="0.2">
      <c r="A386" s="102">
        <v>255</v>
      </c>
      <c r="B386" s="35" t="e">
        <f t="shared" ca="1" si="6"/>
        <v>#VALUE!</v>
      </c>
      <c r="C386" s="35"/>
      <c r="D386" s="35"/>
    </row>
    <row r="387" spans="1:4" x14ac:dyDescent="0.2">
      <c r="A387" s="102">
        <v>256</v>
      </c>
      <c r="B387" s="35" t="e">
        <f t="shared" ca="1" si="6"/>
        <v>#VALUE!</v>
      </c>
      <c r="C387" s="35"/>
      <c r="D387" s="35"/>
    </row>
    <row r="388" spans="1:4" x14ac:dyDescent="0.2">
      <c r="A388" s="102">
        <v>257</v>
      </c>
      <c r="B388" s="35" t="e">
        <f t="shared" ca="1" si="6"/>
        <v>#VALUE!</v>
      </c>
      <c r="C388" s="35"/>
      <c r="D388" s="35"/>
    </row>
    <row r="389" spans="1:4" x14ac:dyDescent="0.2">
      <c r="A389" s="102">
        <v>258</v>
      </c>
      <c r="B389" s="35" t="e">
        <f t="shared" ca="1" si="6"/>
        <v>#VALUE!</v>
      </c>
      <c r="C389" s="35"/>
      <c r="D389" s="35"/>
    </row>
    <row r="390" spans="1:4" x14ac:dyDescent="0.2">
      <c r="A390" s="102">
        <v>259</v>
      </c>
      <c r="B390" s="35" t="e">
        <f t="shared" ca="1" si="6"/>
        <v>#VALUE!</v>
      </c>
      <c r="C390" s="35"/>
      <c r="D390" s="35"/>
    </row>
    <row r="391" spans="1:4" x14ac:dyDescent="0.2">
      <c r="A391" s="102">
        <v>260</v>
      </c>
      <c r="B391" s="35" t="e">
        <f t="shared" ca="1" si="6"/>
        <v>#VALUE!</v>
      </c>
      <c r="C391" s="35"/>
      <c r="D391" s="35"/>
    </row>
    <row r="392" spans="1:4" x14ac:dyDescent="0.2">
      <c r="A392" s="102">
        <v>261</v>
      </c>
      <c r="B392" s="35" t="e">
        <f t="shared" ca="1" si="6"/>
        <v>#VALUE!</v>
      </c>
      <c r="C392" s="35"/>
      <c r="D392" s="35"/>
    </row>
    <row r="393" spans="1:4" x14ac:dyDescent="0.2">
      <c r="A393" s="102">
        <v>262</v>
      </c>
      <c r="B393" s="35" t="e">
        <f t="shared" ca="1" si="6"/>
        <v>#VALUE!</v>
      </c>
      <c r="C393" s="35"/>
      <c r="D393" s="35"/>
    </row>
    <row r="394" spans="1:4" x14ac:dyDescent="0.2">
      <c r="A394" s="102">
        <v>263</v>
      </c>
      <c r="B394" s="35" t="e">
        <f t="shared" ca="1" si="6"/>
        <v>#VALUE!</v>
      </c>
      <c r="C394" s="35"/>
      <c r="D394" s="35"/>
    </row>
    <row r="395" spans="1:4" x14ac:dyDescent="0.2">
      <c r="A395" s="102">
        <v>264</v>
      </c>
      <c r="B395" s="35" t="e">
        <f t="shared" ca="1" si="6"/>
        <v>#VALUE!</v>
      </c>
      <c r="C395" s="35"/>
      <c r="D395" s="35"/>
    </row>
    <row r="396" spans="1:4" x14ac:dyDescent="0.2">
      <c r="A396" s="102">
        <v>265</v>
      </c>
      <c r="B396" s="35" t="e">
        <f t="shared" ca="1" si="6"/>
        <v>#VALUE!</v>
      </c>
      <c r="C396" s="35"/>
      <c r="D396" s="35"/>
    </row>
    <row r="397" spans="1:4" x14ac:dyDescent="0.2">
      <c r="A397" s="102">
        <v>266</v>
      </c>
      <c r="B397" s="35" t="e">
        <f t="shared" ca="1" si="6"/>
        <v>#VALUE!</v>
      </c>
      <c r="C397" s="35"/>
      <c r="D397" s="35"/>
    </row>
    <row r="398" spans="1:4" x14ac:dyDescent="0.2">
      <c r="A398" s="102">
        <v>267</v>
      </c>
      <c r="B398" s="35" t="e">
        <f t="shared" ca="1" si="6"/>
        <v>#VALUE!</v>
      </c>
      <c r="C398" s="35"/>
      <c r="D398" s="35"/>
    </row>
    <row r="399" spans="1:4" x14ac:dyDescent="0.2">
      <c r="A399" s="102">
        <v>268</v>
      </c>
      <c r="B399" s="35" t="e">
        <f t="shared" ca="1" si="6"/>
        <v>#VALUE!</v>
      </c>
      <c r="C399" s="35"/>
      <c r="D399" s="35"/>
    </row>
    <row r="400" spans="1:4" x14ac:dyDescent="0.2">
      <c r="A400" s="102">
        <v>269</v>
      </c>
      <c r="B400" s="35" t="e">
        <f t="shared" ca="1" si="6"/>
        <v>#VALUE!</v>
      </c>
      <c r="C400" s="35"/>
      <c r="D400" s="35"/>
    </row>
    <row r="401" spans="1:4" x14ac:dyDescent="0.2">
      <c r="A401" s="102">
        <v>270</v>
      </c>
      <c r="B401" s="35" t="e">
        <f t="shared" ca="1" si="6"/>
        <v>#VALUE!</v>
      </c>
      <c r="C401" s="35"/>
      <c r="D401" s="35"/>
    </row>
    <row r="402" spans="1:4" x14ac:dyDescent="0.2">
      <c r="A402" s="102">
        <v>271</v>
      </c>
      <c r="B402" s="35" t="e">
        <f t="shared" ca="1" si="6"/>
        <v>#VALUE!</v>
      </c>
      <c r="C402" s="35"/>
      <c r="D402" s="35"/>
    </row>
    <row r="403" spans="1:4" x14ac:dyDescent="0.2">
      <c r="A403" s="102">
        <v>272</v>
      </c>
      <c r="B403" s="35" t="e">
        <f t="shared" ca="1" si="6"/>
        <v>#VALUE!</v>
      </c>
      <c r="C403" s="35"/>
      <c r="D403" s="35"/>
    </row>
    <row r="404" spans="1:4" x14ac:dyDescent="0.2">
      <c r="A404" s="102">
        <v>273</v>
      </c>
      <c r="B404" s="35" t="e">
        <f t="shared" ca="1" si="6"/>
        <v>#VALUE!</v>
      </c>
      <c r="C404" s="35"/>
      <c r="D404" s="35"/>
    </row>
    <row r="405" spans="1:4" x14ac:dyDescent="0.2">
      <c r="A405" s="102">
        <v>274</v>
      </c>
      <c r="B405" s="35" t="e">
        <f t="shared" ca="1" si="6"/>
        <v>#VALUE!</v>
      </c>
      <c r="C405" s="35"/>
      <c r="D405" s="35"/>
    </row>
    <row r="406" spans="1:4" x14ac:dyDescent="0.2">
      <c r="A406" s="102">
        <v>275</v>
      </c>
      <c r="B406" s="35" t="e">
        <f t="shared" ca="1" si="6"/>
        <v>#VALUE!</v>
      </c>
      <c r="C406" s="35"/>
      <c r="D406" s="35"/>
    </row>
    <row r="407" spans="1:4" x14ac:dyDescent="0.2">
      <c r="A407" s="102">
        <v>276</v>
      </c>
      <c r="B407" s="35" t="e">
        <f t="shared" ca="1" si="6"/>
        <v>#VALUE!</v>
      </c>
      <c r="C407" s="35"/>
      <c r="D407" s="35"/>
    </row>
    <row r="408" spans="1:4" x14ac:dyDescent="0.2">
      <c r="A408" s="102">
        <v>277</v>
      </c>
      <c r="B408" s="35" t="e">
        <f t="shared" ca="1" si="6"/>
        <v>#VALUE!</v>
      </c>
      <c r="C408" s="35"/>
      <c r="D408" s="35"/>
    </row>
    <row r="409" spans="1:4" x14ac:dyDescent="0.2">
      <c r="A409" s="102">
        <v>278</v>
      </c>
      <c r="B409" s="35" t="e">
        <f t="shared" ca="1" si="6"/>
        <v>#VALUE!</v>
      </c>
      <c r="C409" s="35"/>
      <c r="D409" s="35"/>
    </row>
    <row r="410" spans="1:4" x14ac:dyDescent="0.2">
      <c r="A410" s="102">
        <v>279</v>
      </c>
      <c r="B410" s="35" t="e">
        <f t="shared" ca="1" si="6"/>
        <v>#VALUE!</v>
      </c>
      <c r="C410" s="35"/>
      <c r="D410" s="35"/>
    </row>
    <row r="411" spans="1:4" x14ac:dyDescent="0.2">
      <c r="A411" s="102">
        <v>280</v>
      </c>
      <c r="B411" s="35" t="e">
        <f t="shared" ca="1" si="6"/>
        <v>#VALUE!</v>
      </c>
      <c r="C411" s="35"/>
      <c r="D411" s="35"/>
    </row>
    <row r="412" spans="1:4" x14ac:dyDescent="0.2">
      <c r="A412" s="102">
        <v>281</v>
      </c>
      <c r="B412" s="35" t="e">
        <f t="shared" ca="1" si="6"/>
        <v>#VALUE!</v>
      </c>
      <c r="C412" s="35"/>
      <c r="D412" s="35"/>
    </row>
    <row r="413" spans="1:4" x14ac:dyDescent="0.2">
      <c r="A413" s="102">
        <v>282</v>
      </c>
      <c r="B413" s="35" t="e">
        <f t="shared" ca="1" si="6"/>
        <v>#VALUE!</v>
      </c>
      <c r="C413" s="35"/>
      <c r="D413" s="35"/>
    </row>
    <row r="414" spans="1:4" x14ac:dyDescent="0.2">
      <c r="A414" s="102">
        <v>283</v>
      </c>
      <c r="B414" s="35" t="e">
        <f t="shared" ca="1" si="6"/>
        <v>#VALUE!</v>
      </c>
      <c r="C414" s="35"/>
      <c r="D414" s="35"/>
    </row>
    <row r="415" spans="1:4" x14ac:dyDescent="0.2">
      <c r="A415" s="102">
        <v>284</v>
      </c>
      <c r="B415" s="35" t="e">
        <f t="shared" ca="1" si="6"/>
        <v>#VALUE!</v>
      </c>
      <c r="C415" s="35"/>
      <c r="D415" s="35"/>
    </row>
    <row r="416" spans="1:4" x14ac:dyDescent="0.2">
      <c r="A416" s="102">
        <v>285</v>
      </c>
      <c r="B416" s="35" t="e">
        <f t="shared" ca="1" si="6"/>
        <v>#VALUE!</v>
      </c>
      <c r="C416" s="35"/>
      <c r="D416" s="35"/>
    </row>
    <row r="417" spans="1:4" x14ac:dyDescent="0.2">
      <c r="A417" s="102">
        <v>286</v>
      </c>
      <c r="B417" s="35" t="e">
        <f t="shared" ref="B417:B480" ca="1" si="7">EPR_calc(A417)</f>
        <v>#VALUE!</v>
      </c>
      <c r="C417" s="35"/>
      <c r="D417" s="35"/>
    </row>
    <row r="418" spans="1:4" x14ac:dyDescent="0.2">
      <c r="A418" s="102">
        <v>287</v>
      </c>
      <c r="B418" s="35" t="e">
        <f t="shared" ca="1" si="7"/>
        <v>#VALUE!</v>
      </c>
      <c r="C418" s="35"/>
      <c r="D418" s="35"/>
    </row>
    <row r="419" spans="1:4" x14ac:dyDescent="0.2">
      <c r="A419" s="102">
        <v>288</v>
      </c>
      <c r="B419" s="35" t="e">
        <f t="shared" ca="1" si="7"/>
        <v>#VALUE!</v>
      </c>
      <c r="C419" s="35"/>
      <c r="D419" s="35"/>
    </row>
    <row r="420" spans="1:4" x14ac:dyDescent="0.2">
      <c r="A420" s="102">
        <v>289</v>
      </c>
      <c r="B420" s="35" t="e">
        <f t="shared" ca="1" si="7"/>
        <v>#VALUE!</v>
      </c>
      <c r="C420" s="35"/>
      <c r="D420" s="35"/>
    </row>
    <row r="421" spans="1:4" x14ac:dyDescent="0.2">
      <c r="A421" s="102">
        <v>290</v>
      </c>
      <c r="B421" s="35" t="e">
        <f t="shared" ca="1" si="7"/>
        <v>#VALUE!</v>
      </c>
      <c r="C421" s="35"/>
      <c r="D421" s="35"/>
    </row>
    <row r="422" spans="1:4" x14ac:dyDescent="0.2">
      <c r="A422" s="102">
        <v>291</v>
      </c>
      <c r="B422" s="35" t="e">
        <f t="shared" ca="1" si="7"/>
        <v>#VALUE!</v>
      </c>
      <c r="C422" s="35"/>
      <c r="D422" s="35"/>
    </row>
    <row r="423" spans="1:4" x14ac:dyDescent="0.2">
      <c r="A423" s="102">
        <v>292</v>
      </c>
      <c r="B423" s="35" t="e">
        <f t="shared" ca="1" si="7"/>
        <v>#VALUE!</v>
      </c>
      <c r="C423" s="35"/>
      <c r="D423" s="35"/>
    </row>
    <row r="424" spans="1:4" x14ac:dyDescent="0.2">
      <c r="A424" s="102">
        <v>293</v>
      </c>
      <c r="B424" s="35" t="e">
        <f t="shared" ca="1" si="7"/>
        <v>#VALUE!</v>
      </c>
      <c r="C424" s="35"/>
      <c r="D424" s="35"/>
    </row>
    <row r="425" spans="1:4" x14ac:dyDescent="0.2">
      <c r="A425" s="102">
        <v>294</v>
      </c>
      <c r="B425" s="35" t="e">
        <f t="shared" ca="1" si="7"/>
        <v>#VALUE!</v>
      </c>
      <c r="C425" s="35"/>
      <c r="D425" s="35"/>
    </row>
    <row r="426" spans="1:4" x14ac:dyDescent="0.2">
      <c r="A426" s="102">
        <v>295</v>
      </c>
      <c r="B426" s="35" t="e">
        <f t="shared" ca="1" si="7"/>
        <v>#VALUE!</v>
      </c>
      <c r="C426" s="35"/>
      <c r="D426" s="35"/>
    </row>
    <row r="427" spans="1:4" x14ac:dyDescent="0.2">
      <c r="A427" s="102">
        <v>296</v>
      </c>
      <c r="B427" s="35" t="e">
        <f t="shared" ca="1" si="7"/>
        <v>#VALUE!</v>
      </c>
      <c r="C427" s="35"/>
      <c r="D427" s="35"/>
    </row>
    <row r="428" spans="1:4" x14ac:dyDescent="0.2">
      <c r="A428" s="102">
        <v>297</v>
      </c>
      <c r="B428" s="35" t="e">
        <f t="shared" ca="1" si="7"/>
        <v>#VALUE!</v>
      </c>
      <c r="C428" s="35"/>
      <c r="D428" s="35"/>
    </row>
    <row r="429" spans="1:4" x14ac:dyDescent="0.2">
      <c r="A429" s="102">
        <v>298</v>
      </c>
      <c r="B429" s="35" t="e">
        <f t="shared" ca="1" si="7"/>
        <v>#VALUE!</v>
      </c>
      <c r="C429" s="35"/>
      <c r="D429" s="35"/>
    </row>
    <row r="430" spans="1:4" x14ac:dyDescent="0.2">
      <c r="A430" s="102">
        <v>299</v>
      </c>
      <c r="B430" s="35" t="e">
        <f t="shared" ca="1" si="7"/>
        <v>#VALUE!</v>
      </c>
      <c r="C430" s="35"/>
      <c r="D430" s="35"/>
    </row>
    <row r="431" spans="1:4" x14ac:dyDescent="0.2">
      <c r="A431" s="102">
        <v>300</v>
      </c>
      <c r="B431" s="35" t="e">
        <f t="shared" ca="1" si="7"/>
        <v>#VALUE!</v>
      </c>
      <c r="C431" s="35"/>
      <c r="D431" s="35"/>
    </row>
    <row r="432" spans="1:4" x14ac:dyDescent="0.2">
      <c r="A432" s="102">
        <v>301</v>
      </c>
      <c r="B432" s="35" t="e">
        <f t="shared" ca="1" si="7"/>
        <v>#VALUE!</v>
      </c>
      <c r="C432" s="35"/>
      <c r="D432" s="35"/>
    </row>
    <row r="433" spans="1:4" x14ac:dyDescent="0.2">
      <c r="A433" s="102">
        <v>302</v>
      </c>
      <c r="B433" s="35" t="e">
        <f t="shared" ca="1" si="7"/>
        <v>#VALUE!</v>
      </c>
      <c r="C433" s="35"/>
      <c r="D433" s="35"/>
    </row>
    <row r="434" spans="1:4" x14ac:dyDescent="0.2">
      <c r="A434" s="102">
        <v>303</v>
      </c>
      <c r="B434" s="35" t="e">
        <f t="shared" ca="1" si="7"/>
        <v>#VALUE!</v>
      </c>
      <c r="C434" s="35"/>
      <c r="D434" s="35"/>
    </row>
    <row r="435" spans="1:4" x14ac:dyDescent="0.2">
      <c r="A435" s="102">
        <v>304</v>
      </c>
      <c r="B435" s="35" t="e">
        <f t="shared" ca="1" si="7"/>
        <v>#VALUE!</v>
      </c>
      <c r="C435" s="35"/>
      <c r="D435" s="35"/>
    </row>
    <row r="436" spans="1:4" x14ac:dyDescent="0.2">
      <c r="A436" s="102">
        <v>305</v>
      </c>
      <c r="B436" s="35" t="e">
        <f t="shared" ca="1" si="7"/>
        <v>#VALUE!</v>
      </c>
      <c r="C436" s="35"/>
      <c r="D436" s="35"/>
    </row>
    <row r="437" spans="1:4" x14ac:dyDescent="0.2">
      <c r="A437" s="102">
        <v>306</v>
      </c>
      <c r="B437" s="35" t="e">
        <f t="shared" ca="1" si="7"/>
        <v>#VALUE!</v>
      </c>
      <c r="C437" s="35"/>
      <c r="D437" s="35"/>
    </row>
    <row r="438" spans="1:4" x14ac:dyDescent="0.2">
      <c r="A438" s="102">
        <v>307</v>
      </c>
      <c r="B438" s="35" t="e">
        <f t="shared" ca="1" si="7"/>
        <v>#VALUE!</v>
      </c>
      <c r="C438" s="35"/>
      <c r="D438" s="35"/>
    </row>
    <row r="439" spans="1:4" x14ac:dyDescent="0.2">
      <c r="A439" s="102">
        <v>308</v>
      </c>
      <c r="B439" s="35" t="e">
        <f t="shared" ca="1" si="7"/>
        <v>#VALUE!</v>
      </c>
      <c r="C439" s="35"/>
      <c r="D439" s="35"/>
    </row>
    <row r="440" spans="1:4" x14ac:dyDescent="0.2">
      <c r="A440" s="102">
        <v>309</v>
      </c>
      <c r="B440" s="35" t="e">
        <f t="shared" ca="1" si="7"/>
        <v>#VALUE!</v>
      </c>
      <c r="C440" s="35"/>
      <c r="D440" s="35"/>
    </row>
    <row r="441" spans="1:4" x14ac:dyDescent="0.2">
      <c r="A441" s="102">
        <v>310</v>
      </c>
      <c r="B441" s="35" t="e">
        <f t="shared" ca="1" si="7"/>
        <v>#VALUE!</v>
      </c>
      <c r="C441" s="35"/>
      <c r="D441" s="35"/>
    </row>
    <row r="442" spans="1:4" x14ac:dyDescent="0.2">
      <c r="A442" s="102">
        <v>311</v>
      </c>
      <c r="B442" s="35" t="e">
        <f t="shared" ca="1" si="7"/>
        <v>#VALUE!</v>
      </c>
      <c r="C442" s="35"/>
      <c r="D442" s="35"/>
    </row>
    <row r="443" spans="1:4" x14ac:dyDescent="0.2">
      <c r="A443" s="102">
        <v>312</v>
      </c>
      <c r="B443" s="35" t="e">
        <f t="shared" ca="1" si="7"/>
        <v>#VALUE!</v>
      </c>
      <c r="C443" s="35"/>
      <c r="D443" s="35"/>
    </row>
    <row r="444" spans="1:4" x14ac:dyDescent="0.2">
      <c r="A444" s="102">
        <v>313</v>
      </c>
      <c r="B444" s="35" t="e">
        <f t="shared" ca="1" si="7"/>
        <v>#VALUE!</v>
      </c>
      <c r="C444" s="35"/>
      <c r="D444" s="35"/>
    </row>
    <row r="445" spans="1:4" x14ac:dyDescent="0.2">
      <c r="A445" s="102">
        <v>314</v>
      </c>
      <c r="B445" s="35" t="e">
        <f t="shared" ca="1" si="7"/>
        <v>#VALUE!</v>
      </c>
      <c r="C445" s="35"/>
      <c r="D445" s="35"/>
    </row>
    <row r="446" spans="1:4" x14ac:dyDescent="0.2">
      <c r="A446" s="102">
        <v>315</v>
      </c>
      <c r="B446" s="35" t="e">
        <f t="shared" ca="1" si="7"/>
        <v>#VALUE!</v>
      </c>
      <c r="C446" s="35"/>
      <c r="D446" s="35"/>
    </row>
    <row r="447" spans="1:4" x14ac:dyDescent="0.2">
      <c r="A447" s="102">
        <v>316</v>
      </c>
      <c r="B447" s="35" t="e">
        <f t="shared" ca="1" si="7"/>
        <v>#VALUE!</v>
      </c>
      <c r="C447" s="35"/>
      <c r="D447" s="35"/>
    </row>
    <row r="448" spans="1:4" x14ac:dyDescent="0.2">
      <c r="A448" s="102">
        <v>317</v>
      </c>
      <c r="B448" s="35" t="e">
        <f t="shared" ca="1" si="7"/>
        <v>#VALUE!</v>
      </c>
      <c r="C448" s="35"/>
      <c r="D448" s="35"/>
    </row>
    <row r="449" spans="1:4" x14ac:dyDescent="0.2">
      <c r="A449" s="102">
        <v>318</v>
      </c>
      <c r="B449" s="35" t="e">
        <f t="shared" ca="1" si="7"/>
        <v>#VALUE!</v>
      </c>
      <c r="C449" s="35"/>
      <c r="D449" s="35"/>
    </row>
    <row r="450" spans="1:4" x14ac:dyDescent="0.2">
      <c r="A450" s="102">
        <v>319</v>
      </c>
      <c r="B450" s="35" t="e">
        <f t="shared" ca="1" si="7"/>
        <v>#VALUE!</v>
      </c>
      <c r="C450" s="35"/>
      <c r="D450" s="35"/>
    </row>
    <row r="451" spans="1:4" x14ac:dyDescent="0.2">
      <c r="A451" s="102">
        <v>320</v>
      </c>
      <c r="B451" s="35" t="e">
        <f t="shared" ca="1" si="7"/>
        <v>#VALUE!</v>
      </c>
      <c r="C451" s="35"/>
      <c r="D451" s="35"/>
    </row>
    <row r="452" spans="1:4" x14ac:dyDescent="0.2">
      <c r="A452" s="102">
        <v>321</v>
      </c>
      <c r="B452" s="35" t="e">
        <f t="shared" ca="1" si="7"/>
        <v>#VALUE!</v>
      </c>
      <c r="C452" s="35"/>
      <c r="D452" s="35"/>
    </row>
    <row r="453" spans="1:4" x14ac:dyDescent="0.2">
      <c r="A453" s="102">
        <v>322</v>
      </c>
      <c r="B453" s="35" t="e">
        <f t="shared" ca="1" si="7"/>
        <v>#VALUE!</v>
      </c>
      <c r="C453" s="35"/>
      <c r="D453" s="35"/>
    </row>
    <row r="454" spans="1:4" x14ac:dyDescent="0.2">
      <c r="A454" s="102">
        <v>323</v>
      </c>
      <c r="B454" s="35" t="e">
        <f t="shared" ca="1" si="7"/>
        <v>#VALUE!</v>
      </c>
      <c r="C454" s="35"/>
      <c r="D454" s="35"/>
    </row>
    <row r="455" spans="1:4" x14ac:dyDescent="0.2">
      <c r="A455" s="102">
        <v>324</v>
      </c>
      <c r="B455" s="35" t="e">
        <f t="shared" ca="1" si="7"/>
        <v>#VALUE!</v>
      </c>
      <c r="C455" s="35"/>
      <c r="D455" s="35"/>
    </row>
    <row r="456" spans="1:4" x14ac:dyDescent="0.2">
      <c r="A456" s="102">
        <v>325</v>
      </c>
      <c r="B456" s="35" t="e">
        <f t="shared" ca="1" si="7"/>
        <v>#VALUE!</v>
      </c>
      <c r="C456" s="35"/>
      <c r="D456" s="35"/>
    </row>
    <row r="457" spans="1:4" x14ac:dyDescent="0.2">
      <c r="A457" s="102">
        <v>326</v>
      </c>
      <c r="B457" s="35" t="e">
        <f t="shared" ca="1" si="7"/>
        <v>#VALUE!</v>
      </c>
      <c r="C457" s="35"/>
      <c r="D457" s="35"/>
    </row>
    <row r="458" spans="1:4" x14ac:dyDescent="0.2">
      <c r="A458" s="102">
        <v>327</v>
      </c>
      <c r="B458" s="35" t="e">
        <f t="shared" ca="1" si="7"/>
        <v>#VALUE!</v>
      </c>
      <c r="C458" s="35"/>
      <c r="D458" s="35"/>
    </row>
    <row r="459" spans="1:4" x14ac:dyDescent="0.2">
      <c r="A459" s="102">
        <v>328</v>
      </c>
      <c r="B459" s="35" t="e">
        <f t="shared" ca="1" si="7"/>
        <v>#VALUE!</v>
      </c>
      <c r="C459" s="35"/>
      <c r="D459" s="35"/>
    </row>
    <row r="460" spans="1:4" x14ac:dyDescent="0.2">
      <c r="A460" s="102">
        <v>329</v>
      </c>
      <c r="B460" s="35" t="e">
        <f t="shared" ca="1" si="7"/>
        <v>#VALUE!</v>
      </c>
      <c r="C460" s="35"/>
      <c r="D460" s="35"/>
    </row>
    <row r="461" spans="1:4" x14ac:dyDescent="0.2">
      <c r="A461" s="102">
        <v>330</v>
      </c>
      <c r="B461" s="35" t="e">
        <f t="shared" ca="1" si="7"/>
        <v>#VALUE!</v>
      </c>
      <c r="C461" s="35"/>
      <c r="D461" s="35"/>
    </row>
    <row r="462" spans="1:4" x14ac:dyDescent="0.2">
      <c r="A462" s="102">
        <v>331</v>
      </c>
      <c r="B462" s="35" t="e">
        <f t="shared" ca="1" si="7"/>
        <v>#VALUE!</v>
      </c>
      <c r="C462" s="35"/>
      <c r="D462" s="35"/>
    </row>
    <row r="463" spans="1:4" x14ac:dyDescent="0.2">
      <c r="A463" s="102">
        <v>332</v>
      </c>
      <c r="B463" s="35" t="e">
        <f t="shared" ca="1" si="7"/>
        <v>#VALUE!</v>
      </c>
      <c r="C463" s="35"/>
      <c r="D463" s="35"/>
    </row>
    <row r="464" spans="1:4" x14ac:dyDescent="0.2">
      <c r="A464" s="102">
        <v>333</v>
      </c>
      <c r="B464" s="35" t="e">
        <f t="shared" ca="1" si="7"/>
        <v>#VALUE!</v>
      </c>
      <c r="C464" s="35"/>
      <c r="D464" s="35"/>
    </row>
    <row r="465" spans="1:4" x14ac:dyDescent="0.2">
      <c r="A465" s="102">
        <v>334</v>
      </c>
      <c r="B465" s="35" t="e">
        <f t="shared" ca="1" si="7"/>
        <v>#VALUE!</v>
      </c>
      <c r="C465" s="35"/>
      <c r="D465" s="35"/>
    </row>
    <row r="466" spans="1:4" x14ac:dyDescent="0.2">
      <c r="A466" s="102">
        <v>335</v>
      </c>
      <c r="B466" s="35" t="e">
        <f t="shared" ca="1" si="7"/>
        <v>#VALUE!</v>
      </c>
      <c r="C466" s="35"/>
      <c r="D466" s="35"/>
    </row>
    <row r="467" spans="1:4" x14ac:dyDescent="0.2">
      <c r="A467" s="102">
        <v>336</v>
      </c>
      <c r="B467" s="35" t="e">
        <f t="shared" ca="1" si="7"/>
        <v>#VALUE!</v>
      </c>
      <c r="C467" s="35"/>
      <c r="D467" s="35"/>
    </row>
    <row r="468" spans="1:4" x14ac:dyDescent="0.2">
      <c r="A468" s="102">
        <v>337</v>
      </c>
      <c r="B468" s="35" t="e">
        <f t="shared" ca="1" si="7"/>
        <v>#VALUE!</v>
      </c>
      <c r="C468" s="35"/>
      <c r="D468" s="35"/>
    </row>
    <row r="469" spans="1:4" x14ac:dyDescent="0.2">
      <c r="A469" s="102">
        <v>338</v>
      </c>
      <c r="B469" s="35" t="e">
        <f t="shared" ca="1" si="7"/>
        <v>#VALUE!</v>
      </c>
      <c r="C469" s="35"/>
      <c r="D469" s="35"/>
    </row>
    <row r="470" spans="1:4" x14ac:dyDescent="0.2">
      <c r="A470" s="102">
        <v>339</v>
      </c>
      <c r="B470" s="35" t="e">
        <f t="shared" ca="1" si="7"/>
        <v>#VALUE!</v>
      </c>
      <c r="C470" s="35"/>
      <c r="D470" s="35"/>
    </row>
    <row r="471" spans="1:4" x14ac:dyDescent="0.2">
      <c r="A471" s="102">
        <v>340</v>
      </c>
      <c r="B471" s="35" t="e">
        <f t="shared" ca="1" si="7"/>
        <v>#VALUE!</v>
      </c>
      <c r="C471" s="35"/>
      <c r="D471" s="35"/>
    </row>
    <row r="472" spans="1:4" x14ac:dyDescent="0.2">
      <c r="A472" s="102">
        <v>341</v>
      </c>
      <c r="B472" s="35" t="e">
        <f t="shared" ca="1" si="7"/>
        <v>#VALUE!</v>
      </c>
      <c r="C472" s="35"/>
      <c r="D472" s="35"/>
    </row>
    <row r="473" spans="1:4" x14ac:dyDescent="0.2">
      <c r="A473" s="102">
        <v>342</v>
      </c>
      <c r="B473" s="35" t="e">
        <f t="shared" ca="1" si="7"/>
        <v>#VALUE!</v>
      </c>
      <c r="C473" s="35"/>
      <c r="D473" s="35"/>
    </row>
    <row r="474" spans="1:4" x14ac:dyDescent="0.2">
      <c r="A474" s="102">
        <v>343</v>
      </c>
      <c r="B474" s="35" t="e">
        <f t="shared" ca="1" si="7"/>
        <v>#VALUE!</v>
      </c>
      <c r="C474" s="35"/>
      <c r="D474" s="35"/>
    </row>
    <row r="475" spans="1:4" x14ac:dyDescent="0.2">
      <c r="A475" s="102">
        <v>344</v>
      </c>
      <c r="B475" s="35" t="e">
        <f t="shared" ca="1" si="7"/>
        <v>#VALUE!</v>
      </c>
      <c r="C475" s="35"/>
      <c r="D475" s="35"/>
    </row>
    <row r="476" spans="1:4" x14ac:dyDescent="0.2">
      <c r="A476" s="102">
        <v>345</v>
      </c>
      <c r="B476" s="35" t="e">
        <f t="shared" ca="1" si="7"/>
        <v>#VALUE!</v>
      </c>
      <c r="C476" s="35"/>
      <c r="D476" s="35"/>
    </row>
    <row r="477" spans="1:4" x14ac:dyDescent="0.2">
      <c r="A477" s="102">
        <v>346</v>
      </c>
      <c r="B477" s="35" t="e">
        <f t="shared" ca="1" si="7"/>
        <v>#VALUE!</v>
      </c>
      <c r="C477" s="35"/>
      <c r="D477" s="35"/>
    </row>
    <row r="478" spans="1:4" x14ac:dyDescent="0.2">
      <c r="A478" s="102">
        <v>347</v>
      </c>
      <c r="B478" s="35" t="e">
        <f t="shared" ca="1" si="7"/>
        <v>#VALUE!</v>
      </c>
      <c r="C478" s="35"/>
      <c r="D478" s="35"/>
    </row>
    <row r="479" spans="1:4" x14ac:dyDescent="0.2">
      <c r="A479" s="102">
        <v>348</v>
      </c>
      <c r="B479" s="35" t="e">
        <f t="shared" ca="1" si="7"/>
        <v>#VALUE!</v>
      </c>
      <c r="C479" s="35"/>
      <c r="D479" s="35"/>
    </row>
    <row r="480" spans="1:4" x14ac:dyDescent="0.2">
      <c r="A480" s="102">
        <v>349</v>
      </c>
      <c r="B480" s="35" t="e">
        <f t="shared" ca="1" si="7"/>
        <v>#VALUE!</v>
      </c>
      <c r="C480" s="35"/>
      <c r="D480" s="35"/>
    </row>
    <row r="481" spans="1:4" x14ac:dyDescent="0.2">
      <c r="A481" s="102">
        <v>350</v>
      </c>
      <c r="B481" s="35" t="e">
        <f t="shared" ref="B481:B544" ca="1" si="8">EPR_calc(A481)</f>
        <v>#VALUE!</v>
      </c>
      <c r="C481" s="35"/>
      <c r="D481" s="35"/>
    </row>
    <row r="482" spans="1:4" x14ac:dyDescent="0.2">
      <c r="A482" s="102">
        <v>351</v>
      </c>
      <c r="B482" s="35" t="e">
        <f t="shared" ca="1" si="8"/>
        <v>#VALUE!</v>
      </c>
      <c r="C482" s="35"/>
      <c r="D482" s="35"/>
    </row>
    <row r="483" spans="1:4" x14ac:dyDescent="0.2">
      <c r="A483" s="102">
        <v>352</v>
      </c>
      <c r="B483" s="35" t="e">
        <f t="shared" ca="1" si="8"/>
        <v>#VALUE!</v>
      </c>
      <c r="C483" s="35"/>
      <c r="D483" s="35"/>
    </row>
    <row r="484" spans="1:4" x14ac:dyDescent="0.2">
      <c r="A484" s="102">
        <v>353</v>
      </c>
      <c r="B484" s="35" t="e">
        <f t="shared" ca="1" si="8"/>
        <v>#VALUE!</v>
      </c>
      <c r="C484" s="35"/>
      <c r="D484" s="35"/>
    </row>
    <row r="485" spans="1:4" x14ac:dyDescent="0.2">
      <c r="A485" s="102">
        <v>354</v>
      </c>
      <c r="B485" s="35" t="e">
        <f t="shared" ca="1" si="8"/>
        <v>#VALUE!</v>
      </c>
      <c r="C485" s="35"/>
      <c r="D485" s="35"/>
    </row>
    <row r="486" spans="1:4" x14ac:dyDescent="0.2">
      <c r="A486" s="102">
        <v>355</v>
      </c>
      <c r="B486" s="35" t="e">
        <f t="shared" ca="1" si="8"/>
        <v>#VALUE!</v>
      </c>
      <c r="C486" s="35"/>
      <c r="D486" s="35"/>
    </row>
    <row r="487" spans="1:4" x14ac:dyDescent="0.2">
      <c r="A487" s="102">
        <v>356</v>
      </c>
      <c r="B487" s="35" t="e">
        <f t="shared" ca="1" si="8"/>
        <v>#VALUE!</v>
      </c>
      <c r="C487" s="35"/>
      <c r="D487" s="35"/>
    </row>
    <row r="488" spans="1:4" x14ac:dyDescent="0.2">
      <c r="A488" s="102">
        <v>357</v>
      </c>
      <c r="B488" s="35" t="e">
        <f t="shared" ca="1" si="8"/>
        <v>#VALUE!</v>
      </c>
      <c r="C488" s="35"/>
      <c r="D488" s="35"/>
    </row>
    <row r="489" spans="1:4" x14ac:dyDescent="0.2">
      <c r="A489" s="102">
        <v>358</v>
      </c>
      <c r="B489" s="35" t="e">
        <f t="shared" ca="1" si="8"/>
        <v>#VALUE!</v>
      </c>
      <c r="C489" s="35"/>
      <c r="D489" s="35"/>
    </row>
    <row r="490" spans="1:4" x14ac:dyDescent="0.2">
      <c r="A490" s="102">
        <v>359</v>
      </c>
      <c r="B490" s="35" t="e">
        <f t="shared" ca="1" si="8"/>
        <v>#VALUE!</v>
      </c>
      <c r="C490" s="35"/>
      <c r="D490" s="35"/>
    </row>
    <row r="491" spans="1:4" x14ac:dyDescent="0.2">
      <c r="A491" s="102">
        <v>360</v>
      </c>
      <c r="B491" s="35" t="e">
        <f t="shared" ca="1" si="8"/>
        <v>#VALUE!</v>
      </c>
      <c r="C491" s="35"/>
      <c r="D491" s="35"/>
    </row>
    <row r="492" spans="1:4" x14ac:dyDescent="0.2">
      <c r="A492" s="102">
        <v>361</v>
      </c>
      <c r="B492" s="35" t="e">
        <f t="shared" ca="1" si="8"/>
        <v>#VALUE!</v>
      </c>
      <c r="C492" s="35"/>
      <c r="D492" s="35"/>
    </row>
    <row r="493" spans="1:4" x14ac:dyDescent="0.2">
      <c r="A493" s="102">
        <v>362</v>
      </c>
      <c r="B493" s="35" t="e">
        <f t="shared" ca="1" si="8"/>
        <v>#VALUE!</v>
      </c>
      <c r="C493" s="35"/>
      <c r="D493" s="35"/>
    </row>
    <row r="494" spans="1:4" x14ac:dyDescent="0.2">
      <c r="A494" s="102">
        <v>363</v>
      </c>
      <c r="B494" s="35" t="e">
        <f t="shared" ca="1" si="8"/>
        <v>#VALUE!</v>
      </c>
      <c r="C494" s="35"/>
      <c r="D494" s="35"/>
    </row>
    <row r="495" spans="1:4" x14ac:dyDescent="0.2">
      <c r="A495" s="102">
        <v>364</v>
      </c>
      <c r="B495" s="35" t="e">
        <f t="shared" ca="1" si="8"/>
        <v>#VALUE!</v>
      </c>
      <c r="C495" s="35"/>
      <c r="D495" s="35"/>
    </row>
    <row r="496" spans="1:4" x14ac:dyDescent="0.2">
      <c r="A496" s="102">
        <v>365</v>
      </c>
      <c r="B496" s="35" t="e">
        <f t="shared" ca="1" si="8"/>
        <v>#VALUE!</v>
      </c>
      <c r="C496" s="35"/>
      <c r="D496" s="35"/>
    </row>
    <row r="497" spans="1:4" x14ac:dyDescent="0.2">
      <c r="A497" s="102">
        <v>366</v>
      </c>
      <c r="B497" s="35" t="e">
        <f t="shared" ca="1" si="8"/>
        <v>#VALUE!</v>
      </c>
      <c r="C497" s="35"/>
      <c r="D497" s="35"/>
    </row>
    <row r="498" spans="1:4" x14ac:dyDescent="0.2">
      <c r="A498" s="102">
        <v>367</v>
      </c>
      <c r="B498" s="35" t="e">
        <f t="shared" ca="1" si="8"/>
        <v>#VALUE!</v>
      </c>
      <c r="C498" s="35"/>
      <c r="D498" s="35"/>
    </row>
    <row r="499" spans="1:4" x14ac:dyDescent="0.2">
      <c r="A499" s="102">
        <v>368</v>
      </c>
      <c r="B499" s="35" t="e">
        <f t="shared" ca="1" si="8"/>
        <v>#VALUE!</v>
      </c>
      <c r="C499" s="35"/>
      <c r="D499" s="35"/>
    </row>
    <row r="500" spans="1:4" x14ac:dyDescent="0.2">
      <c r="A500" s="102">
        <v>369</v>
      </c>
      <c r="B500" s="35" t="e">
        <f t="shared" ca="1" si="8"/>
        <v>#VALUE!</v>
      </c>
      <c r="C500" s="35"/>
      <c r="D500" s="35"/>
    </row>
    <row r="501" spans="1:4" x14ac:dyDescent="0.2">
      <c r="A501" s="102">
        <v>370</v>
      </c>
      <c r="B501" s="35" t="e">
        <f t="shared" ca="1" si="8"/>
        <v>#VALUE!</v>
      </c>
      <c r="C501" s="35"/>
      <c r="D501" s="35"/>
    </row>
    <row r="502" spans="1:4" x14ac:dyDescent="0.2">
      <c r="A502" s="102">
        <v>371</v>
      </c>
      <c r="B502" s="35" t="e">
        <f t="shared" ca="1" si="8"/>
        <v>#VALUE!</v>
      </c>
      <c r="C502" s="35"/>
      <c r="D502" s="35"/>
    </row>
    <row r="503" spans="1:4" x14ac:dyDescent="0.2">
      <c r="A503" s="102">
        <v>372</v>
      </c>
      <c r="B503" s="35" t="e">
        <f t="shared" ca="1" si="8"/>
        <v>#VALUE!</v>
      </c>
      <c r="C503" s="35"/>
      <c r="D503" s="35"/>
    </row>
    <row r="504" spans="1:4" x14ac:dyDescent="0.2">
      <c r="A504" s="102">
        <v>373</v>
      </c>
      <c r="B504" s="35" t="e">
        <f t="shared" ca="1" si="8"/>
        <v>#VALUE!</v>
      </c>
      <c r="C504" s="35"/>
      <c r="D504" s="35"/>
    </row>
    <row r="505" spans="1:4" x14ac:dyDescent="0.2">
      <c r="A505" s="102">
        <v>374</v>
      </c>
      <c r="B505" s="35" t="e">
        <f t="shared" ca="1" si="8"/>
        <v>#VALUE!</v>
      </c>
      <c r="C505" s="35"/>
      <c r="D505" s="35"/>
    </row>
    <row r="506" spans="1:4" x14ac:dyDescent="0.2">
      <c r="A506" s="102">
        <v>375</v>
      </c>
      <c r="B506" s="35" t="e">
        <f t="shared" ca="1" si="8"/>
        <v>#VALUE!</v>
      </c>
      <c r="C506" s="35"/>
      <c r="D506" s="35"/>
    </row>
    <row r="507" spans="1:4" x14ac:dyDescent="0.2">
      <c r="A507" s="102">
        <v>376</v>
      </c>
      <c r="B507" s="35" t="e">
        <f t="shared" ca="1" si="8"/>
        <v>#VALUE!</v>
      </c>
      <c r="C507" s="35"/>
      <c r="D507" s="35"/>
    </row>
    <row r="508" spans="1:4" x14ac:dyDescent="0.2">
      <c r="A508" s="102">
        <v>377</v>
      </c>
      <c r="B508" s="35" t="e">
        <f t="shared" ca="1" si="8"/>
        <v>#VALUE!</v>
      </c>
      <c r="C508" s="35"/>
      <c r="D508" s="35"/>
    </row>
    <row r="509" spans="1:4" x14ac:dyDescent="0.2">
      <c r="A509" s="102">
        <v>378</v>
      </c>
      <c r="B509" s="35" t="e">
        <f t="shared" ca="1" si="8"/>
        <v>#VALUE!</v>
      </c>
      <c r="C509" s="35"/>
      <c r="D509" s="35"/>
    </row>
    <row r="510" spans="1:4" x14ac:dyDescent="0.2">
      <c r="A510" s="102">
        <v>379</v>
      </c>
      <c r="B510" s="35" t="e">
        <f t="shared" ca="1" si="8"/>
        <v>#VALUE!</v>
      </c>
      <c r="C510" s="35"/>
      <c r="D510" s="35"/>
    </row>
    <row r="511" spans="1:4" x14ac:dyDescent="0.2">
      <c r="A511" s="102">
        <v>380</v>
      </c>
      <c r="B511" s="35" t="e">
        <f t="shared" ca="1" si="8"/>
        <v>#VALUE!</v>
      </c>
      <c r="C511" s="35"/>
      <c r="D511" s="35"/>
    </row>
    <row r="512" spans="1:4" x14ac:dyDescent="0.2">
      <c r="A512" s="102">
        <v>381</v>
      </c>
      <c r="B512" s="35" t="e">
        <f t="shared" ca="1" si="8"/>
        <v>#VALUE!</v>
      </c>
      <c r="C512" s="35"/>
      <c r="D512" s="35"/>
    </row>
    <row r="513" spans="1:4" x14ac:dyDescent="0.2">
      <c r="A513" s="102">
        <v>382</v>
      </c>
      <c r="B513" s="35" t="e">
        <f t="shared" ca="1" si="8"/>
        <v>#VALUE!</v>
      </c>
      <c r="C513" s="35"/>
      <c r="D513" s="35"/>
    </row>
    <row r="514" spans="1:4" x14ac:dyDescent="0.2">
      <c r="A514" s="102">
        <v>383</v>
      </c>
      <c r="B514" s="35" t="e">
        <f t="shared" ca="1" si="8"/>
        <v>#VALUE!</v>
      </c>
      <c r="C514" s="35"/>
      <c r="D514" s="35"/>
    </row>
    <row r="515" spans="1:4" x14ac:dyDescent="0.2">
      <c r="A515" s="102">
        <v>384</v>
      </c>
      <c r="B515" s="35" t="e">
        <f t="shared" ca="1" si="8"/>
        <v>#VALUE!</v>
      </c>
      <c r="C515" s="35"/>
      <c r="D515" s="35"/>
    </row>
    <row r="516" spans="1:4" x14ac:dyDescent="0.2">
      <c r="A516" s="102">
        <v>385</v>
      </c>
      <c r="B516" s="35" t="e">
        <f t="shared" ca="1" si="8"/>
        <v>#VALUE!</v>
      </c>
      <c r="C516" s="35"/>
      <c r="D516" s="35"/>
    </row>
    <row r="517" spans="1:4" x14ac:dyDescent="0.2">
      <c r="A517" s="102">
        <v>386</v>
      </c>
      <c r="B517" s="35" t="e">
        <f t="shared" ca="1" si="8"/>
        <v>#VALUE!</v>
      </c>
      <c r="C517" s="35"/>
      <c r="D517" s="35"/>
    </row>
    <row r="518" spans="1:4" x14ac:dyDescent="0.2">
      <c r="A518" s="102">
        <v>387</v>
      </c>
      <c r="B518" s="35" t="e">
        <f t="shared" ca="1" si="8"/>
        <v>#VALUE!</v>
      </c>
      <c r="C518" s="35"/>
      <c r="D518" s="35"/>
    </row>
    <row r="519" spans="1:4" x14ac:dyDescent="0.2">
      <c r="A519" s="102">
        <v>388</v>
      </c>
      <c r="B519" s="35" t="e">
        <f t="shared" ca="1" si="8"/>
        <v>#VALUE!</v>
      </c>
      <c r="C519" s="35"/>
      <c r="D519" s="35"/>
    </row>
    <row r="520" spans="1:4" x14ac:dyDescent="0.2">
      <c r="A520" s="102">
        <v>389</v>
      </c>
      <c r="B520" s="35" t="e">
        <f t="shared" ca="1" si="8"/>
        <v>#VALUE!</v>
      </c>
      <c r="C520" s="35"/>
      <c r="D520" s="35"/>
    </row>
    <row r="521" spans="1:4" x14ac:dyDescent="0.2">
      <c r="A521" s="102">
        <v>390</v>
      </c>
      <c r="B521" s="35" t="e">
        <f t="shared" ca="1" si="8"/>
        <v>#VALUE!</v>
      </c>
      <c r="C521" s="35"/>
      <c r="D521" s="35"/>
    </row>
    <row r="522" spans="1:4" x14ac:dyDescent="0.2">
      <c r="A522" s="102">
        <v>391</v>
      </c>
      <c r="B522" s="35" t="e">
        <f t="shared" ca="1" si="8"/>
        <v>#VALUE!</v>
      </c>
      <c r="C522" s="35"/>
      <c r="D522" s="35"/>
    </row>
    <row r="523" spans="1:4" x14ac:dyDescent="0.2">
      <c r="A523" s="102">
        <v>392</v>
      </c>
      <c r="B523" s="35" t="e">
        <f t="shared" ca="1" si="8"/>
        <v>#VALUE!</v>
      </c>
      <c r="C523" s="35"/>
      <c r="D523" s="35"/>
    </row>
    <row r="524" spans="1:4" x14ac:dyDescent="0.2">
      <c r="A524" s="102">
        <v>393</v>
      </c>
      <c r="B524" s="35" t="e">
        <f t="shared" ca="1" si="8"/>
        <v>#VALUE!</v>
      </c>
      <c r="C524" s="35"/>
      <c r="D524" s="35"/>
    </row>
    <row r="525" spans="1:4" x14ac:dyDescent="0.2">
      <c r="A525" s="102">
        <v>394</v>
      </c>
      <c r="B525" s="35" t="e">
        <f t="shared" ca="1" si="8"/>
        <v>#VALUE!</v>
      </c>
      <c r="C525" s="35"/>
      <c r="D525" s="35"/>
    </row>
    <row r="526" spans="1:4" x14ac:dyDescent="0.2">
      <c r="A526" s="102">
        <v>395</v>
      </c>
      <c r="B526" s="35" t="e">
        <f t="shared" ca="1" si="8"/>
        <v>#VALUE!</v>
      </c>
      <c r="C526" s="35"/>
      <c r="D526" s="35"/>
    </row>
    <row r="527" spans="1:4" x14ac:dyDescent="0.2">
      <c r="A527" s="102">
        <v>396</v>
      </c>
      <c r="B527" s="35" t="e">
        <f t="shared" ca="1" si="8"/>
        <v>#VALUE!</v>
      </c>
      <c r="C527" s="35"/>
      <c r="D527" s="35"/>
    </row>
    <row r="528" spans="1:4" x14ac:dyDescent="0.2">
      <c r="A528" s="102">
        <v>397</v>
      </c>
      <c r="B528" s="35" t="e">
        <f t="shared" ca="1" si="8"/>
        <v>#VALUE!</v>
      </c>
      <c r="C528" s="35"/>
      <c r="D528" s="35"/>
    </row>
    <row r="529" spans="1:4" x14ac:dyDescent="0.2">
      <c r="A529" s="102">
        <v>398</v>
      </c>
      <c r="B529" s="35" t="e">
        <f t="shared" ca="1" si="8"/>
        <v>#VALUE!</v>
      </c>
      <c r="C529" s="35"/>
      <c r="D529" s="35"/>
    </row>
    <row r="530" spans="1:4" x14ac:dyDescent="0.2">
      <c r="A530" s="102">
        <v>399</v>
      </c>
      <c r="B530" s="35" t="e">
        <f t="shared" ca="1" si="8"/>
        <v>#VALUE!</v>
      </c>
      <c r="C530" s="35"/>
      <c r="D530" s="35"/>
    </row>
    <row r="531" spans="1:4" x14ac:dyDescent="0.2">
      <c r="A531" s="102">
        <v>400</v>
      </c>
      <c r="B531" s="35" t="e">
        <f t="shared" ca="1" si="8"/>
        <v>#VALUE!</v>
      </c>
      <c r="C531" s="35"/>
      <c r="D531" s="35"/>
    </row>
    <row r="532" spans="1:4" x14ac:dyDescent="0.2">
      <c r="A532" s="102">
        <v>401</v>
      </c>
      <c r="B532" s="35" t="e">
        <f t="shared" ca="1" si="8"/>
        <v>#VALUE!</v>
      </c>
      <c r="C532" s="35"/>
      <c r="D532" s="35"/>
    </row>
    <row r="533" spans="1:4" x14ac:dyDescent="0.2">
      <c r="A533" s="102">
        <v>402</v>
      </c>
      <c r="B533" s="35" t="e">
        <f t="shared" ca="1" si="8"/>
        <v>#VALUE!</v>
      </c>
      <c r="C533" s="35"/>
      <c r="D533" s="35"/>
    </row>
    <row r="534" spans="1:4" x14ac:dyDescent="0.2">
      <c r="A534" s="102">
        <v>403</v>
      </c>
      <c r="B534" s="35" t="e">
        <f t="shared" ca="1" si="8"/>
        <v>#VALUE!</v>
      </c>
      <c r="C534" s="35"/>
      <c r="D534" s="35"/>
    </row>
    <row r="535" spans="1:4" x14ac:dyDescent="0.2">
      <c r="A535" s="102">
        <v>404</v>
      </c>
      <c r="B535" s="35" t="e">
        <f t="shared" ca="1" si="8"/>
        <v>#VALUE!</v>
      </c>
      <c r="C535" s="35"/>
      <c r="D535" s="35"/>
    </row>
    <row r="536" spans="1:4" x14ac:dyDescent="0.2">
      <c r="A536" s="102">
        <v>405</v>
      </c>
      <c r="B536" s="35" t="e">
        <f t="shared" ca="1" si="8"/>
        <v>#VALUE!</v>
      </c>
      <c r="C536" s="35"/>
      <c r="D536" s="35"/>
    </row>
    <row r="537" spans="1:4" x14ac:dyDescent="0.2">
      <c r="A537" s="102">
        <v>406</v>
      </c>
      <c r="B537" s="35" t="e">
        <f t="shared" ca="1" si="8"/>
        <v>#VALUE!</v>
      </c>
      <c r="C537" s="35"/>
      <c r="D537" s="35"/>
    </row>
    <row r="538" spans="1:4" x14ac:dyDescent="0.2">
      <c r="A538" s="102">
        <v>407</v>
      </c>
      <c r="B538" s="35" t="e">
        <f t="shared" ca="1" si="8"/>
        <v>#VALUE!</v>
      </c>
      <c r="C538" s="35"/>
      <c r="D538" s="35"/>
    </row>
    <row r="539" spans="1:4" x14ac:dyDescent="0.2">
      <c r="A539" s="102">
        <v>408</v>
      </c>
      <c r="B539" s="35" t="e">
        <f t="shared" ca="1" si="8"/>
        <v>#VALUE!</v>
      </c>
      <c r="C539" s="35"/>
      <c r="D539" s="35"/>
    </row>
    <row r="540" spans="1:4" x14ac:dyDescent="0.2">
      <c r="A540" s="102">
        <v>409</v>
      </c>
      <c r="B540" s="35" t="e">
        <f t="shared" ca="1" si="8"/>
        <v>#VALUE!</v>
      </c>
      <c r="C540" s="35"/>
      <c r="D540" s="35"/>
    </row>
    <row r="541" spans="1:4" x14ac:dyDescent="0.2">
      <c r="A541" s="102">
        <v>410</v>
      </c>
      <c r="B541" s="35" t="e">
        <f t="shared" ca="1" si="8"/>
        <v>#VALUE!</v>
      </c>
      <c r="C541" s="35"/>
      <c r="D541" s="35"/>
    </row>
    <row r="542" spans="1:4" x14ac:dyDescent="0.2">
      <c r="A542" s="102">
        <v>411</v>
      </c>
      <c r="B542" s="35" t="e">
        <f t="shared" ca="1" si="8"/>
        <v>#VALUE!</v>
      </c>
      <c r="C542" s="35"/>
      <c r="D542" s="35"/>
    </row>
    <row r="543" spans="1:4" x14ac:dyDescent="0.2">
      <c r="A543" s="102">
        <v>412</v>
      </c>
      <c r="B543" s="35" t="e">
        <f t="shared" ca="1" si="8"/>
        <v>#VALUE!</v>
      </c>
      <c r="C543" s="35"/>
      <c r="D543" s="35"/>
    </row>
    <row r="544" spans="1:4" x14ac:dyDescent="0.2">
      <c r="A544" s="102">
        <v>413</v>
      </c>
      <c r="B544" s="35" t="e">
        <f t="shared" ca="1" si="8"/>
        <v>#VALUE!</v>
      </c>
      <c r="C544" s="35"/>
      <c r="D544" s="35"/>
    </row>
    <row r="545" spans="1:4" x14ac:dyDescent="0.2">
      <c r="A545" s="102">
        <v>414</v>
      </c>
      <c r="B545" s="35" t="e">
        <f t="shared" ref="B545:B608" ca="1" si="9">EPR_calc(A545)</f>
        <v>#VALUE!</v>
      </c>
      <c r="C545" s="35"/>
      <c r="D545" s="35"/>
    </row>
    <row r="546" spans="1:4" x14ac:dyDescent="0.2">
      <c r="A546" s="102">
        <v>415</v>
      </c>
      <c r="B546" s="35" t="e">
        <f t="shared" ca="1" si="9"/>
        <v>#VALUE!</v>
      </c>
      <c r="C546" s="35"/>
      <c r="D546" s="35"/>
    </row>
    <row r="547" spans="1:4" x14ac:dyDescent="0.2">
      <c r="A547" s="102">
        <v>416</v>
      </c>
      <c r="B547" s="35" t="e">
        <f t="shared" ca="1" si="9"/>
        <v>#VALUE!</v>
      </c>
      <c r="C547" s="35"/>
      <c r="D547" s="35"/>
    </row>
    <row r="548" spans="1:4" x14ac:dyDescent="0.2">
      <c r="A548" s="102">
        <v>417</v>
      </c>
      <c r="B548" s="35" t="e">
        <f t="shared" ca="1" si="9"/>
        <v>#VALUE!</v>
      </c>
      <c r="C548" s="35"/>
      <c r="D548" s="35"/>
    </row>
    <row r="549" spans="1:4" x14ac:dyDescent="0.2">
      <c r="A549" s="102">
        <v>418</v>
      </c>
      <c r="B549" s="35" t="e">
        <f t="shared" ca="1" si="9"/>
        <v>#VALUE!</v>
      </c>
      <c r="C549" s="35"/>
      <c r="D549" s="35"/>
    </row>
    <row r="550" spans="1:4" x14ac:dyDescent="0.2">
      <c r="A550" s="102">
        <v>419</v>
      </c>
      <c r="B550" s="35" t="e">
        <f t="shared" ca="1" si="9"/>
        <v>#VALUE!</v>
      </c>
      <c r="C550" s="35"/>
      <c r="D550" s="35"/>
    </row>
    <row r="551" spans="1:4" x14ac:dyDescent="0.2">
      <c r="A551" s="102">
        <v>420</v>
      </c>
      <c r="B551" s="35" t="e">
        <f t="shared" ca="1" si="9"/>
        <v>#VALUE!</v>
      </c>
      <c r="C551" s="35"/>
      <c r="D551" s="35"/>
    </row>
    <row r="552" spans="1:4" x14ac:dyDescent="0.2">
      <c r="A552" s="102">
        <v>421</v>
      </c>
      <c r="B552" s="35" t="e">
        <f t="shared" ca="1" si="9"/>
        <v>#VALUE!</v>
      </c>
      <c r="C552" s="35"/>
      <c r="D552" s="35"/>
    </row>
    <row r="553" spans="1:4" x14ac:dyDescent="0.2">
      <c r="A553" s="102">
        <v>422</v>
      </c>
      <c r="B553" s="35" t="e">
        <f t="shared" ca="1" si="9"/>
        <v>#VALUE!</v>
      </c>
      <c r="C553" s="35"/>
      <c r="D553" s="35"/>
    </row>
    <row r="554" spans="1:4" x14ac:dyDescent="0.2">
      <c r="A554" s="102">
        <v>423</v>
      </c>
      <c r="B554" s="35" t="e">
        <f t="shared" ca="1" si="9"/>
        <v>#VALUE!</v>
      </c>
      <c r="C554" s="35"/>
      <c r="D554" s="35"/>
    </row>
    <row r="555" spans="1:4" x14ac:dyDescent="0.2">
      <c r="A555" s="102">
        <v>424</v>
      </c>
      <c r="B555" s="35" t="e">
        <f t="shared" ca="1" si="9"/>
        <v>#VALUE!</v>
      </c>
      <c r="C555" s="35"/>
      <c r="D555" s="35"/>
    </row>
    <row r="556" spans="1:4" x14ac:dyDescent="0.2">
      <c r="A556" s="102">
        <v>425</v>
      </c>
      <c r="B556" s="35" t="e">
        <f t="shared" ca="1" si="9"/>
        <v>#VALUE!</v>
      </c>
      <c r="C556" s="35"/>
      <c r="D556" s="35"/>
    </row>
    <row r="557" spans="1:4" x14ac:dyDescent="0.2">
      <c r="A557" s="102">
        <v>426</v>
      </c>
      <c r="B557" s="35" t="e">
        <f t="shared" ca="1" si="9"/>
        <v>#VALUE!</v>
      </c>
      <c r="C557" s="35"/>
      <c r="D557" s="35"/>
    </row>
    <row r="558" spans="1:4" x14ac:dyDescent="0.2">
      <c r="A558" s="102">
        <v>427</v>
      </c>
      <c r="B558" s="35" t="e">
        <f t="shared" ca="1" si="9"/>
        <v>#VALUE!</v>
      </c>
      <c r="C558" s="35"/>
      <c r="D558" s="35"/>
    </row>
    <row r="559" spans="1:4" x14ac:dyDescent="0.2">
      <c r="A559" s="102">
        <v>428</v>
      </c>
      <c r="B559" s="35" t="e">
        <f t="shared" ca="1" si="9"/>
        <v>#VALUE!</v>
      </c>
      <c r="C559" s="35"/>
      <c r="D559" s="35"/>
    </row>
    <row r="560" spans="1:4" x14ac:dyDescent="0.2">
      <c r="A560" s="102">
        <v>429</v>
      </c>
      <c r="B560" s="35" t="e">
        <f t="shared" ca="1" si="9"/>
        <v>#VALUE!</v>
      </c>
      <c r="C560" s="35"/>
      <c r="D560" s="35"/>
    </row>
    <row r="561" spans="1:4" x14ac:dyDescent="0.2">
      <c r="A561" s="102">
        <v>430</v>
      </c>
      <c r="B561" s="35" t="e">
        <f t="shared" ca="1" si="9"/>
        <v>#VALUE!</v>
      </c>
      <c r="C561" s="35"/>
      <c r="D561" s="35"/>
    </row>
    <row r="562" spans="1:4" x14ac:dyDescent="0.2">
      <c r="A562" s="102">
        <v>431</v>
      </c>
      <c r="B562" s="35" t="e">
        <f t="shared" ca="1" si="9"/>
        <v>#VALUE!</v>
      </c>
      <c r="C562" s="35"/>
      <c r="D562" s="35"/>
    </row>
    <row r="563" spans="1:4" x14ac:dyDescent="0.2">
      <c r="A563" s="102">
        <v>432</v>
      </c>
      <c r="B563" s="35" t="e">
        <f t="shared" ca="1" si="9"/>
        <v>#VALUE!</v>
      </c>
      <c r="C563" s="35"/>
      <c r="D563" s="35"/>
    </row>
    <row r="564" spans="1:4" x14ac:dyDescent="0.2">
      <c r="A564" s="102">
        <v>433</v>
      </c>
      <c r="B564" s="35" t="e">
        <f t="shared" ca="1" si="9"/>
        <v>#VALUE!</v>
      </c>
      <c r="C564" s="35"/>
      <c r="D564" s="35"/>
    </row>
    <row r="565" spans="1:4" x14ac:dyDescent="0.2">
      <c r="A565" s="102">
        <v>434</v>
      </c>
      <c r="B565" s="35" t="e">
        <f t="shared" ca="1" si="9"/>
        <v>#VALUE!</v>
      </c>
      <c r="C565" s="35"/>
      <c r="D565" s="35"/>
    </row>
    <row r="566" spans="1:4" x14ac:dyDescent="0.2">
      <c r="A566" s="102">
        <v>435</v>
      </c>
      <c r="B566" s="35" t="e">
        <f t="shared" ca="1" si="9"/>
        <v>#VALUE!</v>
      </c>
      <c r="C566" s="35"/>
      <c r="D566" s="35"/>
    </row>
    <row r="567" spans="1:4" x14ac:dyDescent="0.2">
      <c r="A567" s="102">
        <v>436</v>
      </c>
      <c r="B567" s="35" t="e">
        <f t="shared" ca="1" si="9"/>
        <v>#VALUE!</v>
      </c>
      <c r="C567" s="35"/>
      <c r="D567" s="35"/>
    </row>
    <row r="568" spans="1:4" x14ac:dyDescent="0.2">
      <c r="A568" s="102">
        <v>437</v>
      </c>
      <c r="B568" s="35" t="e">
        <f t="shared" ca="1" si="9"/>
        <v>#VALUE!</v>
      </c>
      <c r="C568" s="35"/>
      <c r="D568" s="35"/>
    </row>
    <row r="569" spans="1:4" x14ac:dyDescent="0.2">
      <c r="A569" s="102">
        <v>438</v>
      </c>
      <c r="B569" s="35" t="e">
        <f t="shared" ca="1" si="9"/>
        <v>#VALUE!</v>
      </c>
      <c r="C569" s="35"/>
      <c r="D569" s="35"/>
    </row>
    <row r="570" spans="1:4" x14ac:dyDescent="0.2">
      <c r="A570" s="102">
        <v>439</v>
      </c>
      <c r="B570" s="35" t="e">
        <f t="shared" ca="1" si="9"/>
        <v>#VALUE!</v>
      </c>
      <c r="C570" s="35"/>
      <c r="D570" s="35"/>
    </row>
    <row r="571" spans="1:4" x14ac:dyDescent="0.2">
      <c r="A571" s="102">
        <v>440</v>
      </c>
      <c r="B571" s="35" t="e">
        <f t="shared" ca="1" si="9"/>
        <v>#VALUE!</v>
      </c>
      <c r="C571" s="35"/>
      <c r="D571" s="35"/>
    </row>
    <row r="572" spans="1:4" x14ac:dyDescent="0.2">
      <c r="A572" s="102">
        <v>441</v>
      </c>
      <c r="B572" s="35" t="e">
        <f t="shared" ca="1" si="9"/>
        <v>#VALUE!</v>
      </c>
      <c r="C572" s="35"/>
      <c r="D572" s="35"/>
    </row>
    <row r="573" spans="1:4" x14ac:dyDescent="0.2">
      <c r="A573" s="102">
        <v>442</v>
      </c>
      <c r="B573" s="35" t="e">
        <f t="shared" ca="1" si="9"/>
        <v>#VALUE!</v>
      </c>
      <c r="C573" s="35"/>
      <c r="D573" s="35"/>
    </row>
    <row r="574" spans="1:4" x14ac:dyDescent="0.2">
      <c r="A574" s="102">
        <v>443</v>
      </c>
      <c r="B574" s="35" t="e">
        <f t="shared" ca="1" si="9"/>
        <v>#VALUE!</v>
      </c>
      <c r="C574" s="35"/>
      <c r="D574" s="35"/>
    </row>
    <row r="575" spans="1:4" x14ac:dyDescent="0.2">
      <c r="A575" s="102">
        <v>444</v>
      </c>
      <c r="B575" s="35" t="e">
        <f t="shared" ca="1" si="9"/>
        <v>#VALUE!</v>
      </c>
      <c r="C575" s="35"/>
      <c r="D575" s="35"/>
    </row>
    <row r="576" spans="1:4" x14ac:dyDescent="0.2">
      <c r="A576" s="102">
        <v>445</v>
      </c>
      <c r="B576" s="35" t="e">
        <f t="shared" ca="1" si="9"/>
        <v>#VALUE!</v>
      </c>
      <c r="C576" s="35"/>
      <c r="D576" s="35"/>
    </row>
    <row r="577" spans="1:4" x14ac:dyDescent="0.2">
      <c r="A577" s="102">
        <v>446</v>
      </c>
      <c r="B577" s="35" t="e">
        <f t="shared" ca="1" si="9"/>
        <v>#VALUE!</v>
      </c>
      <c r="C577" s="35"/>
      <c r="D577" s="35"/>
    </row>
    <row r="578" spans="1:4" x14ac:dyDescent="0.2">
      <c r="A578" s="102">
        <v>447</v>
      </c>
      <c r="B578" s="35" t="e">
        <f t="shared" ca="1" si="9"/>
        <v>#VALUE!</v>
      </c>
      <c r="C578" s="35"/>
      <c r="D578" s="35"/>
    </row>
    <row r="579" spans="1:4" x14ac:dyDescent="0.2">
      <c r="A579" s="102">
        <v>448</v>
      </c>
      <c r="B579" s="35" t="e">
        <f t="shared" ca="1" si="9"/>
        <v>#VALUE!</v>
      </c>
      <c r="C579" s="35"/>
      <c r="D579" s="35"/>
    </row>
    <row r="580" spans="1:4" x14ac:dyDescent="0.2">
      <c r="A580" s="102">
        <v>449</v>
      </c>
      <c r="B580" s="35" t="e">
        <f t="shared" ca="1" si="9"/>
        <v>#VALUE!</v>
      </c>
      <c r="C580" s="35"/>
      <c r="D580" s="35"/>
    </row>
    <row r="581" spans="1:4" x14ac:dyDescent="0.2">
      <c r="A581" s="102">
        <v>450</v>
      </c>
      <c r="B581" s="35" t="e">
        <f t="shared" ca="1" si="9"/>
        <v>#VALUE!</v>
      </c>
      <c r="C581" s="35"/>
      <c r="D581" s="35"/>
    </row>
    <row r="582" spans="1:4" x14ac:dyDescent="0.2">
      <c r="A582" s="102">
        <v>451</v>
      </c>
      <c r="B582" s="35" t="e">
        <f t="shared" ca="1" si="9"/>
        <v>#VALUE!</v>
      </c>
      <c r="C582" s="35"/>
      <c r="D582" s="35"/>
    </row>
    <row r="583" spans="1:4" x14ac:dyDescent="0.2">
      <c r="A583" s="102">
        <v>452</v>
      </c>
      <c r="B583" s="35" t="e">
        <f t="shared" ca="1" si="9"/>
        <v>#VALUE!</v>
      </c>
      <c r="C583" s="35"/>
      <c r="D583" s="35"/>
    </row>
    <row r="584" spans="1:4" x14ac:dyDescent="0.2">
      <c r="A584" s="102">
        <v>453</v>
      </c>
      <c r="B584" s="35" t="e">
        <f t="shared" ca="1" si="9"/>
        <v>#VALUE!</v>
      </c>
      <c r="C584" s="35"/>
      <c r="D584" s="35"/>
    </row>
    <row r="585" spans="1:4" x14ac:dyDescent="0.2">
      <c r="A585" s="102">
        <v>454</v>
      </c>
      <c r="B585" s="35" t="e">
        <f t="shared" ca="1" si="9"/>
        <v>#VALUE!</v>
      </c>
      <c r="C585" s="35"/>
      <c r="D585" s="35"/>
    </row>
    <row r="586" spans="1:4" x14ac:dyDescent="0.2">
      <c r="A586" s="102">
        <v>455</v>
      </c>
      <c r="B586" s="35" t="e">
        <f t="shared" ca="1" si="9"/>
        <v>#VALUE!</v>
      </c>
      <c r="C586" s="35"/>
      <c r="D586" s="35"/>
    </row>
    <row r="587" spans="1:4" x14ac:dyDescent="0.2">
      <c r="A587" s="102">
        <v>456</v>
      </c>
      <c r="B587" s="35" t="e">
        <f t="shared" ca="1" si="9"/>
        <v>#VALUE!</v>
      </c>
      <c r="C587" s="35"/>
      <c r="D587" s="35"/>
    </row>
    <row r="588" spans="1:4" x14ac:dyDescent="0.2">
      <c r="A588" s="102">
        <v>457</v>
      </c>
      <c r="B588" s="35" t="e">
        <f t="shared" ca="1" si="9"/>
        <v>#VALUE!</v>
      </c>
      <c r="C588" s="35"/>
      <c r="D588" s="35"/>
    </row>
    <row r="589" spans="1:4" x14ac:dyDescent="0.2">
      <c r="A589" s="102">
        <v>458</v>
      </c>
      <c r="B589" s="35" t="e">
        <f t="shared" ca="1" si="9"/>
        <v>#VALUE!</v>
      </c>
      <c r="C589" s="35"/>
      <c r="D589" s="35"/>
    </row>
    <row r="590" spans="1:4" x14ac:dyDescent="0.2">
      <c r="A590" s="102">
        <v>459</v>
      </c>
      <c r="B590" s="35" t="e">
        <f t="shared" ca="1" si="9"/>
        <v>#VALUE!</v>
      </c>
      <c r="C590" s="35"/>
      <c r="D590" s="35"/>
    </row>
    <row r="591" spans="1:4" x14ac:dyDescent="0.2">
      <c r="A591" s="102">
        <v>460</v>
      </c>
      <c r="B591" s="35" t="e">
        <f t="shared" ca="1" si="9"/>
        <v>#VALUE!</v>
      </c>
      <c r="C591" s="35"/>
      <c r="D591" s="35"/>
    </row>
    <row r="592" spans="1:4" x14ac:dyDescent="0.2">
      <c r="A592" s="102">
        <v>461</v>
      </c>
      <c r="B592" s="35" t="e">
        <f t="shared" ca="1" si="9"/>
        <v>#VALUE!</v>
      </c>
      <c r="C592" s="35"/>
      <c r="D592" s="35"/>
    </row>
    <row r="593" spans="1:4" x14ac:dyDescent="0.2">
      <c r="A593" s="102">
        <v>462</v>
      </c>
      <c r="B593" s="35" t="e">
        <f t="shared" ca="1" si="9"/>
        <v>#VALUE!</v>
      </c>
      <c r="C593" s="35"/>
      <c r="D593" s="35"/>
    </row>
    <row r="594" spans="1:4" x14ac:dyDescent="0.2">
      <c r="A594" s="102">
        <v>463</v>
      </c>
      <c r="B594" s="35" t="e">
        <f t="shared" ca="1" si="9"/>
        <v>#VALUE!</v>
      </c>
      <c r="C594" s="35"/>
      <c r="D594" s="35"/>
    </row>
    <row r="595" spans="1:4" x14ac:dyDescent="0.2">
      <c r="A595" s="102">
        <v>464</v>
      </c>
      <c r="B595" s="35" t="e">
        <f t="shared" ca="1" si="9"/>
        <v>#VALUE!</v>
      </c>
      <c r="C595" s="35"/>
      <c r="D595" s="35"/>
    </row>
    <row r="596" spans="1:4" x14ac:dyDescent="0.2">
      <c r="A596" s="102">
        <v>465</v>
      </c>
      <c r="B596" s="35" t="e">
        <f t="shared" ca="1" si="9"/>
        <v>#VALUE!</v>
      </c>
      <c r="C596" s="35"/>
      <c r="D596" s="35"/>
    </row>
    <row r="597" spans="1:4" x14ac:dyDescent="0.2">
      <c r="A597" s="102">
        <v>466</v>
      </c>
      <c r="B597" s="35" t="e">
        <f t="shared" ca="1" si="9"/>
        <v>#VALUE!</v>
      </c>
      <c r="C597" s="35"/>
      <c r="D597" s="35"/>
    </row>
    <row r="598" spans="1:4" x14ac:dyDescent="0.2">
      <c r="A598" s="102">
        <v>467</v>
      </c>
      <c r="B598" s="35" t="e">
        <f t="shared" ca="1" si="9"/>
        <v>#VALUE!</v>
      </c>
      <c r="C598" s="35"/>
      <c r="D598" s="35"/>
    </row>
    <row r="599" spans="1:4" x14ac:dyDescent="0.2">
      <c r="A599" s="102">
        <v>468</v>
      </c>
      <c r="B599" s="35" t="e">
        <f t="shared" ca="1" si="9"/>
        <v>#VALUE!</v>
      </c>
      <c r="C599" s="35"/>
      <c r="D599" s="35"/>
    </row>
    <row r="600" spans="1:4" x14ac:dyDescent="0.2">
      <c r="A600" s="102">
        <v>469</v>
      </c>
      <c r="B600" s="35" t="e">
        <f t="shared" ca="1" si="9"/>
        <v>#VALUE!</v>
      </c>
      <c r="C600" s="35"/>
      <c r="D600" s="35"/>
    </row>
    <row r="601" spans="1:4" x14ac:dyDescent="0.2">
      <c r="A601" s="102">
        <v>470</v>
      </c>
      <c r="B601" s="35" t="e">
        <f t="shared" ca="1" si="9"/>
        <v>#VALUE!</v>
      </c>
      <c r="C601" s="35"/>
      <c r="D601" s="35"/>
    </row>
    <row r="602" spans="1:4" x14ac:dyDescent="0.2">
      <c r="A602" s="102">
        <v>471</v>
      </c>
      <c r="B602" s="35" t="e">
        <f t="shared" ca="1" si="9"/>
        <v>#VALUE!</v>
      </c>
      <c r="C602" s="35"/>
      <c r="D602" s="35"/>
    </row>
    <row r="603" spans="1:4" x14ac:dyDescent="0.2">
      <c r="A603" s="102">
        <v>472</v>
      </c>
      <c r="B603" s="35" t="e">
        <f t="shared" ca="1" si="9"/>
        <v>#VALUE!</v>
      </c>
      <c r="C603" s="35"/>
      <c r="D603" s="35"/>
    </row>
    <row r="604" spans="1:4" x14ac:dyDescent="0.2">
      <c r="A604" s="102">
        <v>473</v>
      </c>
      <c r="B604" s="35" t="e">
        <f t="shared" ca="1" si="9"/>
        <v>#VALUE!</v>
      </c>
      <c r="C604" s="35"/>
      <c r="D604" s="35"/>
    </row>
    <row r="605" spans="1:4" x14ac:dyDescent="0.2">
      <c r="A605" s="102">
        <v>474</v>
      </c>
      <c r="B605" s="35" t="e">
        <f t="shared" ca="1" si="9"/>
        <v>#VALUE!</v>
      </c>
      <c r="C605" s="35"/>
      <c r="D605" s="35"/>
    </row>
    <row r="606" spans="1:4" x14ac:dyDescent="0.2">
      <c r="A606" s="102">
        <v>475</v>
      </c>
      <c r="B606" s="35" t="e">
        <f t="shared" ca="1" si="9"/>
        <v>#VALUE!</v>
      </c>
      <c r="C606" s="35"/>
      <c r="D606" s="35"/>
    </row>
    <row r="607" spans="1:4" x14ac:dyDescent="0.2">
      <c r="A607" s="102">
        <v>476</v>
      </c>
      <c r="B607" s="35" t="e">
        <f t="shared" ca="1" si="9"/>
        <v>#VALUE!</v>
      </c>
      <c r="C607" s="35"/>
      <c r="D607" s="35"/>
    </row>
    <row r="608" spans="1:4" x14ac:dyDescent="0.2">
      <c r="A608" s="102">
        <v>477</v>
      </c>
      <c r="B608" s="35" t="e">
        <f t="shared" ca="1" si="9"/>
        <v>#VALUE!</v>
      </c>
      <c r="C608" s="35"/>
      <c r="D608" s="35"/>
    </row>
    <row r="609" spans="1:4" x14ac:dyDescent="0.2">
      <c r="A609" s="102">
        <v>478</v>
      </c>
      <c r="B609" s="35" t="e">
        <f t="shared" ref="B609:B631" ca="1" si="10">EPR_calc(A609)</f>
        <v>#VALUE!</v>
      </c>
      <c r="C609" s="35"/>
      <c r="D609" s="35"/>
    </row>
    <row r="610" spans="1:4" x14ac:dyDescent="0.2">
      <c r="A610" s="102">
        <v>479</v>
      </c>
      <c r="B610" s="35" t="e">
        <f t="shared" ca="1" si="10"/>
        <v>#VALUE!</v>
      </c>
      <c r="C610" s="35"/>
      <c r="D610" s="35"/>
    </row>
    <row r="611" spans="1:4" x14ac:dyDescent="0.2">
      <c r="A611" s="102">
        <v>480</v>
      </c>
      <c r="B611" s="35" t="e">
        <f t="shared" ca="1" si="10"/>
        <v>#VALUE!</v>
      </c>
      <c r="C611" s="35"/>
      <c r="D611" s="35"/>
    </row>
    <row r="612" spans="1:4" x14ac:dyDescent="0.2">
      <c r="A612" s="102">
        <v>481</v>
      </c>
      <c r="B612" s="35" t="e">
        <f t="shared" ca="1" si="10"/>
        <v>#VALUE!</v>
      </c>
      <c r="C612" s="35"/>
      <c r="D612" s="35"/>
    </row>
    <row r="613" spans="1:4" x14ac:dyDescent="0.2">
      <c r="A613" s="102">
        <v>482</v>
      </c>
      <c r="B613" s="35" t="e">
        <f t="shared" ca="1" si="10"/>
        <v>#VALUE!</v>
      </c>
      <c r="C613" s="35"/>
      <c r="D613" s="35"/>
    </row>
    <row r="614" spans="1:4" x14ac:dyDescent="0.2">
      <c r="A614" s="102">
        <v>483</v>
      </c>
      <c r="B614" s="35" t="e">
        <f t="shared" ca="1" si="10"/>
        <v>#VALUE!</v>
      </c>
      <c r="C614" s="35"/>
      <c r="D614" s="35"/>
    </row>
    <row r="615" spans="1:4" x14ac:dyDescent="0.2">
      <c r="A615" s="102">
        <v>484</v>
      </c>
      <c r="B615" s="35" t="e">
        <f t="shared" ca="1" si="10"/>
        <v>#VALUE!</v>
      </c>
      <c r="C615" s="35"/>
      <c r="D615" s="35"/>
    </row>
    <row r="616" spans="1:4" x14ac:dyDescent="0.2">
      <c r="A616" s="102">
        <v>485</v>
      </c>
      <c r="B616" s="35" t="e">
        <f t="shared" ca="1" si="10"/>
        <v>#VALUE!</v>
      </c>
      <c r="C616" s="35"/>
      <c r="D616" s="35"/>
    </row>
    <row r="617" spans="1:4" x14ac:dyDescent="0.2">
      <c r="A617" s="102">
        <v>486</v>
      </c>
      <c r="B617" s="35" t="e">
        <f t="shared" ca="1" si="10"/>
        <v>#VALUE!</v>
      </c>
      <c r="C617" s="35"/>
      <c r="D617" s="35"/>
    </row>
    <row r="618" spans="1:4" x14ac:dyDescent="0.2">
      <c r="A618" s="102">
        <v>487</v>
      </c>
      <c r="B618" s="35" t="e">
        <f t="shared" ca="1" si="10"/>
        <v>#VALUE!</v>
      </c>
      <c r="C618" s="35"/>
      <c r="D618" s="35"/>
    </row>
    <row r="619" spans="1:4" x14ac:dyDescent="0.2">
      <c r="A619" s="102">
        <v>488</v>
      </c>
      <c r="B619" s="35" t="e">
        <f t="shared" ca="1" si="10"/>
        <v>#VALUE!</v>
      </c>
      <c r="C619" s="35"/>
      <c r="D619" s="35"/>
    </row>
    <row r="620" spans="1:4" x14ac:dyDescent="0.2">
      <c r="A620" s="102">
        <v>489</v>
      </c>
      <c r="B620" s="35" t="e">
        <f t="shared" ca="1" si="10"/>
        <v>#VALUE!</v>
      </c>
      <c r="C620" s="35"/>
      <c r="D620" s="35"/>
    </row>
    <row r="621" spans="1:4" x14ac:dyDescent="0.2">
      <c r="A621" s="102">
        <v>490</v>
      </c>
      <c r="B621" s="35" t="e">
        <f t="shared" ca="1" si="10"/>
        <v>#VALUE!</v>
      </c>
      <c r="C621" s="35"/>
      <c r="D621" s="35"/>
    </row>
    <row r="622" spans="1:4" x14ac:dyDescent="0.2">
      <c r="A622" s="102">
        <v>491</v>
      </c>
      <c r="B622" s="35" t="e">
        <f t="shared" ca="1" si="10"/>
        <v>#VALUE!</v>
      </c>
      <c r="C622" s="35"/>
      <c r="D622" s="35"/>
    </row>
    <row r="623" spans="1:4" x14ac:dyDescent="0.2">
      <c r="A623" s="102">
        <v>492</v>
      </c>
      <c r="B623" s="35" t="e">
        <f t="shared" ca="1" si="10"/>
        <v>#VALUE!</v>
      </c>
      <c r="C623" s="35"/>
      <c r="D623" s="35"/>
    </row>
    <row r="624" spans="1:4" x14ac:dyDescent="0.2">
      <c r="A624" s="102">
        <v>493</v>
      </c>
      <c r="B624" s="35" t="e">
        <f t="shared" ca="1" si="10"/>
        <v>#VALUE!</v>
      </c>
      <c r="C624" s="35"/>
      <c r="D624" s="35"/>
    </row>
    <row r="625" spans="1:4" x14ac:dyDescent="0.2">
      <c r="A625" s="102">
        <v>494</v>
      </c>
      <c r="B625" s="35" t="e">
        <f t="shared" ca="1" si="10"/>
        <v>#VALUE!</v>
      </c>
      <c r="C625" s="35"/>
      <c r="D625" s="35"/>
    </row>
    <row r="626" spans="1:4" x14ac:dyDescent="0.2">
      <c r="A626" s="102">
        <v>495</v>
      </c>
      <c r="B626" s="35" t="e">
        <f t="shared" ca="1" si="10"/>
        <v>#VALUE!</v>
      </c>
      <c r="C626" s="35"/>
      <c r="D626" s="35"/>
    </row>
    <row r="627" spans="1:4" x14ac:dyDescent="0.2">
      <c r="A627" s="102">
        <v>496</v>
      </c>
      <c r="B627" s="35" t="e">
        <f t="shared" ca="1" si="10"/>
        <v>#VALUE!</v>
      </c>
      <c r="C627" s="35"/>
      <c r="D627" s="35"/>
    </row>
    <row r="628" spans="1:4" x14ac:dyDescent="0.2">
      <c r="A628" s="102">
        <v>497</v>
      </c>
      <c r="B628" s="35" t="e">
        <f t="shared" ca="1" si="10"/>
        <v>#VALUE!</v>
      </c>
      <c r="C628" s="35"/>
      <c r="D628" s="35"/>
    </row>
    <row r="629" spans="1:4" x14ac:dyDescent="0.2">
      <c r="A629" s="102">
        <v>498</v>
      </c>
      <c r="B629" s="35" t="e">
        <f t="shared" ca="1" si="10"/>
        <v>#VALUE!</v>
      </c>
      <c r="C629" s="35"/>
      <c r="D629" s="35"/>
    </row>
    <row r="630" spans="1:4" x14ac:dyDescent="0.2">
      <c r="A630" s="102">
        <v>499</v>
      </c>
      <c r="B630" s="35" t="e">
        <f t="shared" ca="1" si="10"/>
        <v>#VALUE!</v>
      </c>
      <c r="C630" s="35"/>
      <c r="D630" s="35"/>
    </row>
    <row r="631" spans="1:4" x14ac:dyDescent="0.2">
      <c r="A631" s="102">
        <v>500</v>
      </c>
      <c r="B631" s="35" t="e">
        <f t="shared" ca="1" si="10"/>
        <v>#VALUE!</v>
      </c>
      <c r="C631" s="35"/>
      <c r="D631" s="35"/>
    </row>
    <row r="632" spans="1:4" x14ac:dyDescent="0.2">
      <c r="B632" s="35"/>
      <c r="C632" s="35"/>
      <c r="D632" s="35"/>
    </row>
    <row r="633" spans="1:4" x14ac:dyDescent="0.2">
      <c r="B633" s="35"/>
      <c r="C633" s="35"/>
      <c r="D633" s="35"/>
    </row>
    <row r="634" spans="1:4" x14ac:dyDescent="0.2">
      <c r="B634" s="35"/>
      <c r="C634" s="35"/>
      <c r="D634" s="35"/>
    </row>
    <row r="635" spans="1:4" x14ac:dyDescent="0.2">
      <c r="B635" s="35"/>
      <c r="C635" s="35"/>
      <c r="D635" s="35"/>
    </row>
    <row r="636" spans="1:4" x14ac:dyDescent="0.2">
      <c r="B636" s="35"/>
      <c r="C636" s="35"/>
      <c r="D636" s="35"/>
    </row>
    <row r="637" spans="1:4" x14ac:dyDescent="0.2">
      <c r="B637" s="35"/>
      <c r="C637" s="35"/>
      <c r="D637" s="35"/>
    </row>
    <row r="638" spans="1:4" x14ac:dyDescent="0.2">
      <c r="B638" s="35"/>
      <c r="C638" s="35"/>
      <c r="D638" s="35"/>
    </row>
    <row r="639" spans="1:4" x14ac:dyDescent="0.2">
      <c r="B639" s="35"/>
      <c r="C639" s="35"/>
      <c r="D639" s="35"/>
    </row>
    <row r="640" spans="1:4" x14ac:dyDescent="0.2">
      <c r="B640" s="35"/>
      <c r="C640" s="35"/>
      <c r="D640" s="35"/>
    </row>
    <row r="641" spans="2:4" x14ac:dyDescent="0.2">
      <c r="B641" s="35"/>
      <c r="C641" s="35"/>
      <c r="D641" s="35"/>
    </row>
    <row r="642" spans="2:4" x14ac:dyDescent="0.2">
      <c r="B642" s="35"/>
      <c r="C642" s="35"/>
      <c r="D642" s="35"/>
    </row>
    <row r="643" spans="2:4" x14ac:dyDescent="0.2">
      <c r="B643" s="35"/>
      <c r="C643" s="35"/>
      <c r="D643" s="35"/>
    </row>
    <row r="644" spans="2:4" x14ac:dyDescent="0.2">
      <c r="B644" s="35"/>
      <c r="C644" s="35"/>
      <c r="D644" s="35"/>
    </row>
    <row r="645" spans="2:4" x14ac:dyDescent="0.2">
      <c r="B645" s="35"/>
      <c r="C645" s="35"/>
      <c r="D645" s="35"/>
    </row>
    <row r="646" spans="2:4" x14ac:dyDescent="0.2">
      <c r="B646" s="35"/>
      <c r="C646" s="35"/>
      <c r="D646" s="35"/>
    </row>
    <row r="647" spans="2:4" x14ac:dyDescent="0.2">
      <c r="B647" s="35"/>
      <c r="C647" s="35"/>
      <c r="D647" s="35"/>
    </row>
    <row r="648" spans="2:4" x14ac:dyDescent="0.2">
      <c r="B648" s="35"/>
      <c r="C648" s="35"/>
      <c r="D648" s="35"/>
    </row>
    <row r="649" spans="2:4" x14ac:dyDescent="0.2">
      <c r="B649" s="35"/>
      <c r="C649" s="35"/>
      <c r="D649" s="35"/>
    </row>
    <row r="650" spans="2:4" x14ac:dyDescent="0.2">
      <c r="B650" s="35"/>
      <c r="C650" s="35"/>
      <c r="D650" s="35"/>
    </row>
    <row r="651" spans="2:4" x14ac:dyDescent="0.2">
      <c r="B651" s="35"/>
      <c r="C651" s="35"/>
      <c r="D651" s="35"/>
    </row>
    <row r="652" spans="2:4" x14ac:dyDescent="0.2">
      <c r="B652" s="35"/>
      <c r="C652" s="35"/>
      <c r="D652" s="35"/>
    </row>
    <row r="653" spans="2:4" x14ac:dyDescent="0.2">
      <c r="B653" s="35"/>
      <c r="C653" s="35"/>
      <c r="D653" s="35"/>
    </row>
    <row r="654" spans="2:4" x14ac:dyDescent="0.2">
      <c r="B654" s="35"/>
      <c r="C654" s="35"/>
      <c r="D654" s="35"/>
    </row>
    <row r="655" spans="2:4" x14ac:dyDescent="0.2">
      <c r="B655" s="35"/>
      <c r="C655" s="35"/>
      <c r="D655" s="35"/>
    </row>
    <row r="656" spans="2:4" x14ac:dyDescent="0.2">
      <c r="B656" s="35"/>
      <c r="C656" s="35"/>
      <c r="D656" s="35"/>
    </row>
    <row r="657" spans="2:4" x14ac:dyDescent="0.2">
      <c r="B657" s="35"/>
      <c r="C657" s="35"/>
      <c r="D657" s="35"/>
    </row>
    <row r="658" spans="2:4" x14ac:dyDescent="0.2">
      <c r="B658" s="35"/>
      <c r="C658" s="35"/>
      <c r="D658" s="35"/>
    </row>
    <row r="659" spans="2:4" x14ac:dyDescent="0.2">
      <c r="B659" s="35"/>
      <c r="C659" s="35"/>
      <c r="D659" s="35"/>
    </row>
    <row r="660" spans="2:4" x14ac:dyDescent="0.2">
      <c r="B660" s="35"/>
      <c r="C660" s="35"/>
      <c r="D660" s="35"/>
    </row>
    <row r="661" spans="2:4" x14ac:dyDescent="0.2">
      <c r="B661" s="35"/>
      <c r="C661" s="35"/>
      <c r="D661" s="35"/>
    </row>
    <row r="662" spans="2:4" x14ac:dyDescent="0.2">
      <c r="B662" s="35"/>
      <c r="C662" s="35"/>
      <c r="D662" s="35"/>
    </row>
    <row r="663" spans="2:4" x14ac:dyDescent="0.2">
      <c r="B663" s="35"/>
      <c r="C663" s="35"/>
      <c r="D663" s="35"/>
    </row>
    <row r="664" spans="2:4" x14ac:dyDescent="0.2">
      <c r="B664" s="35"/>
      <c r="C664" s="35"/>
      <c r="D664" s="35"/>
    </row>
    <row r="665" spans="2:4" x14ac:dyDescent="0.2">
      <c r="B665" s="35"/>
      <c r="C665" s="35"/>
      <c r="D665" s="35"/>
    </row>
    <row r="666" spans="2:4" x14ac:dyDescent="0.2">
      <c r="B666" s="35"/>
      <c r="C666" s="35"/>
      <c r="D666" s="35"/>
    </row>
    <row r="667" spans="2:4" x14ac:dyDescent="0.2">
      <c r="B667" s="35"/>
      <c r="C667" s="35"/>
      <c r="D667" s="35"/>
    </row>
    <row r="668" spans="2:4" x14ac:dyDescent="0.2">
      <c r="B668" s="35"/>
      <c r="C668" s="35"/>
      <c r="D668" s="35"/>
    </row>
    <row r="669" spans="2:4" x14ac:dyDescent="0.2">
      <c r="B669" s="35"/>
      <c r="C669" s="35"/>
      <c r="D669" s="35"/>
    </row>
    <row r="670" spans="2:4" x14ac:dyDescent="0.2">
      <c r="B670" s="35"/>
      <c r="C670" s="35"/>
      <c r="D670" s="35"/>
    </row>
    <row r="671" spans="2:4" x14ac:dyDescent="0.2">
      <c r="B671" s="35"/>
      <c r="C671" s="35"/>
      <c r="D671" s="35"/>
    </row>
    <row r="672" spans="2:4" x14ac:dyDescent="0.2">
      <c r="B672" s="35"/>
      <c r="C672" s="35"/>
      <c r="D672" s="35"/>
    </row>
    <row r="673" spans="2:4" x14ac:dyDescent="0.2">
      <c r="B673" s="35"/>
      <c r="C673" s="35"/>
      <c r="D673" s="35"/>
    </row>
    <row r="674" spans="2:4" x14ac:dyDescent="0.2">
      <c r="B674" s="35"/>
      <c r="C674" s="35"/>
      <c r="D674" s="35"/>
    </row>
    <row r="675" spans="2:4" x14ac:dyDescent="0.2">
      <c r="B675" s="35"/>
      <c r="C675" s="35"/>
      <c r="D675" s="35"/>
    </row>
    <row r="676" spans="2:4" x14ac:dyDescent="0.2">
      <c r="B676" s="35"/>
      <c r="C676" s="35"/>
      <c r="D676" s="35"/>
    </row>
    <row r="677" spans="2:4" x14ac:dyDescent="0.2">
      <c r="B677" s="35"/>
      <c r="C677" s="35"/>
      <c r="D677" s="35"/>
    </row>
    <row r="678" spans="2:4" x14ac:dyDescent="0.2">
      <c r="B678" s="35"/>
      <c r="C678" s="35"/>
      <c r="D678" s="35"/>
    </row>
    <row r="679" spans="2:4" x14ac:dyDescent="0.2">
      <c r="B679" s="35"/>
      <c r="C679" s="35"/>
      <c r="D679" s="35"/>
    </row>
    <row r="680" spans="2:4" x14ac:dyDescent="0.2">
      <c r="B680" s="35"/>
      <c r="C680" s="35"/>
      <c r="D680" s="35"/>
    </row>
    <row r="681" spans="2:4" x14ac:dyDescent="0.2">
      <c r="B681" s="35"/>
      <c r="C681" s="35"/>
      <c r="D681" s="35"/>
    </row>
    <row r="682" spans="2:4" x14ac:dyDescent="0.2">
      <c r="B682" s="35"/>
      <c r="C682" s="35"/>
      <c r="D682" s="35"/>
    </row>
    <row r="683" spans="2:4" x14ac:dyDescent="0.2">
      <c r="B683" s="35"/>
      <c r="C683" s="35"/>
      <c r="D683" s="35"/>
    </row>
    <row r="684" spans="2:4" x14ac:dyDescent="0.2">
      <c r="B684" s="35"/>
      <c r="C684" s="35"/>
      <c r="D684" s="35"/>
    </row>
    <row r="685" spans="2:4" x14ac:dyDescent="0.2">
      <c r="B685" s="35"/>
      <c r="C685" s="35"/>
      <c r="D685" s="35"/>
    </row>
    <row r="686" spans="2:4" x14ac:dyDescent="0.2">
      <c r="B686" s="35"/>
      <c r="C686" s="35"/>
      <c r="D686" s="35"/>
    </row>
    <row r="687" spans="2:4" x14ac:dyDescent="0.2">
      <c r="B687" s="35"/>
      <c r="C687" s="35"/>
      <c r="D687" s="35"/>
    </row>
    <row r="688" spans="2:4" x14ac:dyDescent="0.2">
      <c r="B688" s="35"/>
      <c r="C688" s="35"/>
      <c r="D688" s="35"/>
    </row>
    <row r="689" spans="2:4" x14ac:dyDescent="0.2">
      <c r="B689" s="35"/>
      <c r="C689" s="35"/>
      <c r="D689" s="35"/>
    </row>
    <row r="690" spans="2:4" x14ac:dyDescent="0.2">
      <c r="B690" s="35"/>
      <c r="C690" s="35"/>
      <c r="D690" s="35"/>
    </row>
    <row r="691" spans="2:4" x14ac:dyDescent="0.2">
      <c r="B691" s="35"/>
      <c r="C691" s="35"/>
      <c r="D691" s="35"/>
    </row>
    <row r="692" spans="2:4" x14ac:dyDescent="0.2">
      <c r="B692" s="35"/>
      <c r="C692" s="35"/>
      <c r="D692" s="35"/>
    </row>
    <row r="693" spans="2:4" x14ac:dyDescent="0.2">
      <c r="B693" s="35"/>
      <c r="C693" s="35"/>
      <c r="D693" s="35"/>
    </row>
    <row r="694" spans="2:4" x14ac:dyDescent="0.2">
      <c r="B694" s="35"/>
      <c r="C694" s="35"/>
      <c r="D694" s="35"/>
    </row>
    <row r="695" spans="2:4" x14ac:dyDescent="0.2">
      <c r="B695" s="35"/>
      <c r="C695" s="35"/>
      <c r="D695" s="35"/>
    </row>
    <row r="696" spans="2:4" x14ac:dyDescent="0.2">
      <c r="B696" s="35"/>
      <c r="C696" s="35"/>
      <c r="D696" s="35"/>
    </row>
    <row r="697" spans="2:4" x14ac:dyDescent="0.2">
      <c r="B697" s="35"/>
      <c r="C697" s="35"/>
      <c r="D697" s="35"/>
    </row>
    <row r="698" spans="2:4" x14ac:dyDescent="0.2">
      <c r="B698" s="35"/>
      <c r="C698" s="35"/>
      <c r="D698" s="35"/>
    </row>
    <row r="699" spans="2:4" x14ac:dyDescent="0.2">
      <c r="B699" s="35"/>
      <c r="C699" s="35"/>
      <c r="D699" s="35"/>
    </row>
    <row r="700" spans="2:4" x14ac:dyDescent="0.2">
      <c r="B700" s="35"/>
      <c r="C700" s="35"/>
      <c r="D700" s="35"/>
    </row>
    <row r="701" spans="2:4" x14ac:dyDescent="0.2">
      <c r="B701" s="35"/>
      <c r="C701" s="35"/>
      <c r="D701" s="35"/>
    </row>
    <row r="702" spans="2:4" x14ac:dyDescent="0.2">
      <c r="B702" s="35"/>
      <c r="C702" s="35"/>
      <c r="D702" s="35"/>
    </row>
    <row r="703" spans="2:4" x14ac:dyDescent="0.2">
      <c r="B703" s="35"/>
      <c r="C703" s="35"/>
      <c r="D703" s="35"/>
    </row>
    <row r="704" spans="2:4" x14ac:dyDescent="0.2">
      <c r="B704" s="35"/>
      <c r="C704" s="35"/>
      <c r="D704" s="35"/>
    </row>
    <row r="705" spans="2:4" x14ac:dyDescent="0.2">
      <c r="B705" s="35"/>
      <c r="C705" s="35"/>
      <c r="D705" s="35"/>
    </row>
    <row r="706" spans="2:4" x14ac:dyDescent="0.2">
      <c r="B706" s="35"/>
      <c r="C706" s="35"/>
      <c r="D706" s="35"/>
    </row>
    <row r="707" spans="2:4" x14ac:dyDescent="0.2">
      <c r="B707" s="35"/>
      <c r="C707" s="35"/>
      <c r="D707" s="35"/>
    </row>
    <row r="708" spans="2:4" x14ac:dyDescent="0.2">
      <c r="B708" s="35"/>
      <c r="C708" s="35"/>
      <c r="D708" s="35"/>
    </row>
    <row r="709" spans="2:4" x14ac:dyDescent="0.2">
      <c r="B709" s="35"/>
      <c r="C709" s="35"/>
      <c r="D709" s="35"/>
    </row>
    <row r="710" spans="2:4" x14ac:dyDescent="0.2">
      <c r="B710" s="35"/>
      <c r="C710" s="35"/>
      <c r="D710" s="35"/>
    </row>
    <row r="711" spans="2:4" x14ac:dyDescent="0.2">
      <c r="B711" s="35"/>
      <c r="C711" s="35"/>
      <c r="D711" s="35"/>
    </row>
    <row r="712" spans="2:4" x14ac:dyDescent="0.2">
      <c r="B712" s="35"/>
      <c r="C712" s="35"/>
      <c r="D712" s="35"/>
    </row>
    <row r="713" spans="2:4" x14ac:dyDescent="0.2">
      <c r="B713" s="35"/>
      <c r="C713" s="35"/>
      <c r="D713" s="35"/>
    </row>
    <row r="714" spans="2:4" x14ac:dyDescent="0.2">
      <c r="B714" s="35"/>
      <c r="C714" s="35"/>
      <c r="D714" s="35"/>
    </row>
    <row r="715" spans="2:4" x14ac:dyDescent="0.2">
      <c r="B715" s="35"/>
      <c r="C715" s="35"/>
      <c r="D715" s="35"/>
    </row>
    <row r="716" spans="2:4" x14ac:dyDescent="0.2">
      <c r="B716" s="35"/>
      <c r="C716" s="35"/>
      <c r="D716" s="35"/>
    </row>
    <row r="717" spans="2:4" x14ac:dyDescent="0.2">
      <c r="B717" s="35"/>
      <c r="C717" s="35"/>
      <c r="D717" s="35"/>
    </row>
    <row r="718" spans="2:4" x14ac:dyDescent="0.2">
      <c r="B718" s="35"/>
      <c r="C718" s="35"/>
      <c r="D718" s="35"/>
    </row>
    <row r="719" spans="2:4" x14ac:dyDescent="0.2">
      <c r="B719" s="35"/>
      <c r="C719" s="35"/>
      <c r="D719" s="35"/>
    </row>
    <row r="720" spans="2:4" x14ac:dyDescent="0.2">
      <c r="B720" s="35"/>
      <c r="C720" s="35"/>
      <c r="D720" s="35"/>
    </row>
    <row r="721" spans="2:4" x14ac:dyDescent="0.2">
      <c r="B721" s="35"/>
      <c r="C721" s="35"/>
      <c r="D721" s="35"/>
    </row>
    <row r="722" spans="2:4" x14ac:dyDescent="0.2">
      <c r="B722" s="35"/>
      <c r="C722" s="35"/>
      <c r="D722" s="35"/>
    </row>
    <row r="723" spans="2:4" x14ac:dyDescent="0.2">
      <c r="B723" s="35"/>
      <c r="C723" s="35"/>
      <c r="D723" s="35"/>
    </row>
    <row r="724" spans="2:4" x14ac:dyDescent="0.2">
      <c r="B724" s="35"/>
      <c r="C724" s="35"/>
      <c r="D724" s="35"/>
    </row>
    <row r="725" spans="2:4" x14ac:dyDescent="0.2">
      <c r="B725" s="35"/>
      <c r="C725" s="35"/>
      <c r="D725" s="35"/>
    </row>
    <row r="726" spans="2:4" x14ac:dyDescent="0.2">
      <c r="B726" s="35"/>
      <c r="C726" s="35"/>
      <c r="D726" s="35"/>
    </row>
    <row r="727" spans="2:4" x14ac:dyDescent="0.2">
      <c r="B727" s="35"/>
      <c r="C727" s="35"/>
      <c r="D727" s="35"/>
    </row>
    <row r="728" spans="2:4" x14ac:dyDescent="0.2">
      <c r="B728" s="35"/>
      <c r="C728" s="35"/>
      <c r="D728" s="35"/>
    </row>
    <row r="729" spans="2:4" x14ac:dyDescent="0.2">
      <c r="B729" s="35"/>
      <c r="C729" s="35"/>
      <c r="D729" s="35"/>
    </row>
    <row r="730" spans="2:4" x14ac:dyDescent="0.2">
      <c r="B730" s="35"/>
      <c r="C730" s="35"/>
      <c r="D730" s="35"/>
    </row>
    <row r="731" spans="2:4" x14ac:dyDescent="0.2">
      <c r="B731" s="35"/>
      <c r="C731" s="35"/>
      <c r="D731" s="35"/>
    </row>
    <row r="732" spans="2:4" x14ac:dyDescent="0.2">
      <c r="B732" s="35"/>
      <c r="C732" s="35"/>
      <c r="D732" s="35"/>
    </row>
    <row r="733" spans="2:4" x14ac:dyDescent="0.2">
      <c r="B733" s="35"/>
      <c r="C733" s="35"/>
      <c r="D733" s="35"/>
    </row>
    <row r="734" spans="2:4" x14ac:dyDescent="0.2">
      <c r="B734" s="35"/>
      <c r="C734" s="35"/>
      <c r="D734" s="35"/>
    </row>
    <row r="735" spans="2:4" x14ac:dyDescent="0.2">
      <c r="B735" s="35"/>
      <c r="C735" s="35"/>
      <c r="D735" s="35"/>
    </row>
    <row r="736" spans="2:4" x14ac:dyDescent="0.2">
      <c r="B736" s="35"/>
      <c r="C736" s="35"/>
      <c r="D736" s="35"/>
    </row>
    <row r="737" spans="2:4" x14ac:dyDescent="0.2">
      <c r="B737" s="35"/>
      <c r="C737" s="35"/>
      <c r="D737" s="35"/>
    </row>
    <row r="738" spans="2:4" x14ac:dyDescent="0.2">
      <c r="B738" s="35"/>
      <c r="C738" s="35"/>
      <c r="D738" s="35"/>
    </row>
    <row r="739" spans="2:4" x14ac:dyDescent="0.2">
      <c r="B739" s="35"/>
      <c r="C739" s="35"/>
      <c r="D739" s="35"/>
    </row>
    <row r="740" spans="2:4" x14ac:dyDescent="0.2">
      <c r="B740" s="35"/>
      <c r="C740" s="35"/>
      <c r="D740" s="35"/>
    </row>
    <row r="741" spans="2:4" x14ac:dyDescent="0.2">
      <c r="B741" s="35"/>
      <c r="C741" s="35"/>
      <c r="D741" s="35"/>
    </row>
    <row r="742" spans="2:4" x14ac:dyDescent="0.2">
      <c r="B742" s="35"/>
      <c r="C742" s="35"/>
      <c r="D742" s="35"/>
    </row>
    <row r="743" spans="2:4" x14ac:dyDescent="0.2">
      <c r="B743" s="35"/>
      <c r="C743" s="35"/>
      <c r="D743" s="35"/>
    </row>
    <row r="744" spans="2:4" x14ac:dyDescent="0.2">
      <c r="B744" s="35"/>
      <c r="C744" s="35"/>
      <c r="D744" s="35"/>
    </row>
    <row r="745" spans="2:4" x14ac:dyDescent="0.2">
      <c r="B745" s="35"/>
      <c r="C745" s="35"/>
      <c r="D745" s="35"/>
    </row>
    <row r="746" spans="2:4" x14ac:dyDescent="0.2">
      <c r="B746" s="35"/>
      <c r="C746" s="35"/>
      <c r="D746" s="35"/>
    </row>
    <row r="747" spans="2:4" x14ac:dyDescent="0.2">
      <c r="B747" s="35"/>
      <c r="C747" s="35"/>
      <c r="D747" s="35"/>
    </row>
    <row r="748" spans="2:4" x14ac:dyDescent="0.2">
      <c r="B748" s="35"/>
      <c r="C748" s="35"/>
      <c r="D748" s="35"/>
    </row>
    <row r="749" spans="2:4" x14ac:dyDescent="0.2">
      <c r="B749" s="35"/>
      <c r="C749" s="35"/>
      <c r="D749" s="35"/>
    </row>
    <row r="750" spans="2:4" x14ac:dyDescent="0.2">
      <c r="B750" s="35"/>
      <c r="C750" s="35"/>
      <c r="D750" s="35"/>
    </row>
    <row r="751" spans="2:4" x14ac:dyDescent="0.2">
      <c r="B751" s="35"/>
      <c r="C751" s="35"/>
      <c r="D751" s="35"/>
    </row>
    <row r="752" spans="2:4" x14ac:dyDescent="0.2">
      <c r="B752" s="35"/>
      <c r="C752" s="35"/>
      <c r="D752" s="35"/>
    </row>
    <row r="753" spans="2:4" x14ac:dyDescent="0.2">
      <c r="B753" s="35"/>
      <c r="C753" s="35"/>
      <c r="D753" s="35"/>
    </row>
    <row r="754" spans="2:4" x14ac:dyDescent="0.2">
      <c r="B754" s="35"/>
      <c r="C754" s="35"/>
      <c r="D754" s="35"/>
    </row>
    <row r="755" spans="2:4" x14ac:dyDescent="0.2">
      <c r="B755" s="35"/>
      <c r="C755" s="35"/>
      <c r="D755" s="35"/>
    </row>
    <row r="756" spans="2:4" x14ac:dyDescent="0.2">
      <c r="B756" s="35"/>
      <c r="C756" s="35"/>
      <c r="D756" s="35"/>
    </row>
    <row r="757" spans="2:4" x14ac:dyDescent="0.2">
      <c r="B757" s="35"/>
      <c r="C757" s="35"/>
      <c r="D757" s="35"/>
    </row>
    <row r="758" spans="2:4" x14ac:dyDescent="0.2">
      <c r="B758" s="35"/>
      <c r="C758" s="35"/>
      <c r="D758" s="35"/>
    </row>
    <row r="759" spans="2:4" x14ac:dyDescent="0.2">
      <c r="B759" s="35"/>
      <c r="C759" s="35"/>
      <c r="D759" s="35"/>
    </row>
    <row r="760" spans="2:4" x14ac:dyDescent="0.2">
      <c r="B760" s="35"/>
      <c r="C760" s="35"/>
      <c r="D760" s="35"/>
    </row>
    <row r="761" spans="2:4" x14ac:dyDescent="0.2">
      <c r="B761" s="35"/>
      <c r="C761" s="35"/>
      <c r="D761" s="35"/>
    </row>
    <row r="762" spans="2:4" x14ac:dyDescent="0.2">
      <c r="B762" s="35"/>
      <c r="C762" s="35"/>
      <c r="D762" s="35"/>
    </row>
    <row r="763" spans="2:4" x14ac:dyDescent="0.2">
      <c r="B763" s="35"/>
      <c r="C763" s="35"/>
      <c r="D763" s="35"/>
    </row>
    <row r="764" spans="2:4" x14ac:dyDescent="0.2">
      <c r="B764" s="35"/>
      <c r="C764" s="35"/>
      <c r="D764" s="35"/>
    </row>
    <row r="765" spans="2:4" x14ac:dyDescent="0.2">
      <c r="B765" s="35"/>
      <c r="C765" s="35"/>
      <c r="D765" s="35"/>
    </row>
    <row r="766" spans="2:4" x14ac:dyDescent="0.2">
      <c r="B766" s="35"/>
      <c r="C766" s="35"/>
      <c r="D766" s="35"/>
    </row>
    <row r="767" spans="2:4" x14ac:dyDescent="0.2">
      <c r="B767" s="35"/>
      <c r="C767" s="35"/>
      <c r="D767" s="35"/>
    </row>
    <row r="768" spans="2:4" x14ac:dyDescent="0.2">
      <c r="B768" s="35"/>
      <c r="C768" s="35"/>
      <c r="D768" s="35"/>
    </row>
    <row r="769" spans="2:4" x14ac:dyDescent="0.2">
      <c r="B769" s="35"/>
      <c r="C769" s="35"/>
      <c r="D769" s="35"/>
    </row>
    <row r="770" spans="2:4" x14ac:dyDescent="0.2">
      <c r="B770" s="35"/>
      <c r="C770" s="35"/>
      <c r="D770" s="35"/>
    </row>
    <row r="771" spans="2:4" x14ac:dyDescent="0.2">
      <c r="B771" s="35"/>
      <c r="C771" s="35"/>
      <c r="D771" s="35"/>
    </row>
    <row r="772" spans="2:4" x14ac:dyDescent="0.2">
      <c r="B772" s="35"/>
      <c r="C772" s="35"/>
      <c r="D772" s="35"/>
    </row>
    <row r="773" spans="2:4" x14ac:dyDescent="0.2">
      <c r="B773" s="35"/>
      <c r="C773" s="35"/>
      <c r="D773" s="35"/>
    </row>
    <row r="774" spans="2:4" x14ac:dyDescent="0.2">
      <c r="B774" s="35"/>
      <c r="C774" s="35"/>
      <c r="D774" s="35"/>
    </row>
    <row r="775" spans="2:4" x14ac:dyDescent="0.2">
      <c r="B775" s="35"/>
      <c r="C775" s="35"/>
      <c r="D775" s="35"/>
    </row>
    <row r="776" spans="2:4" x14ac:dyDescent="0.2">
      <c r="B776" s="35"/>
      <c r="C776" s="35"/>
      <c r="D776" s="35"/>
    </row>
    <row r="777" spans="2:4" x14ac:dyDescent="0.2">
      <c r="B777" s="35"/>
      <c r="C777" s="35"/>
      <c r="D777" s="35"/>
    </row>
    <row r="778" spans="2:4" x14ac:dyDescent="0.2">
      <c r="B778" s="35"/>
      <c r="C778" s="35"/>
      <c r="D778" s="35"/>
    </row>
    <row r="779" spans="2:4" x14ac:dyDescent="0.2">
      <c r="B779" s="35"/>
      <c r="C779" s="35"/>
      <c r="D779" s="35"/>
    </row>
    <row r="780" spans="2:4" x14ac:dyDescent="0.2">
      <c r="B780" s="35"/>
      <c r="C780" s="35"/>
      <c r="D780" s="35"/>
    </row>
    <row r="781" spans="2:4" x14ac:dyDescent="0.2">
      <c r="B781" s="35"/>
      <c r="C781" s="35"/>
      <c r="D781" s="35"/>
    </row>
    <row r="782" spans="2:4" x14ac:dyDescent="0.2">
      <c r="B782" s="35"/>
      <c r="C782" s="35"/>
      <c r="D782" s="35"/>
    </row>
    <row r="783" spans="2:4" x14ac:dyDescent="0.2">
      <c r="B783" s="35"/>
      <c r="C783" s="35"/>
      <c r="D783" s="35"/>
    </row>
    <row r="784" spans="2:4" x14ac:dyDescent="0.2">
      <c r="B784" s="35"/>
      <c r="C784" s="35"/>
      <c r="D784" s="35"/>
    </row>
    <row r="785" spans="2:4" x14ac:dyDescent="0.2">
      <c r="B785" s="35"/>
      <c r="C785" s="35"/>
      <c r="D785" s="35"/>
    </row>
    <row r="786" spans="2:4" x14ac:dyDescent="0.2">
      <c r="B786" s="35"/>
      <c r="C786" s="35"/>
      <c r="D786" s="35"/>
    </row>
    <row r="787" spans="2:4" x14ac:dyDescent="0.2">
      <c r="B787" s="35"/>
      <c r="C787" s="35"/>
      <c r="D787" s="35"/>
    </row>
    <row r="788" spans="2:4" x14ac:dyDescent="0.2">
      <c r="B788" s="35"/>
      <c r="C788" s="35"/>
      <c r="D788" s="35"/>
    </row>
    <row r="789" spans="2:4" x14ac:dyDescent="0.2">
      <c r="B789" s="35"/>
      <c r="C789" s="35"/>
      <c r="D789" s="35"/>
    </row>
    <row r="790" spans="2:4" x14ac:dyDescent="0.2">
      <c r="B790" s="35"/>
      <c r="C790" s="35"/>
      <c r="D790" s="35"/>
    </row>
    <row r="791" spans="2:4" x14ac:dyDescent="0.2">
      <c r="B791" s="35"/>
      <c r="C791" s="35"/>
      <c r="D791" s="35"/>
    </row>
    <row r="792" spans="2:4" x14ac:dyDescent="0.2">
      <c r="B792" s="35"/>
      <c r="C792" s="35"/>
      <c r="D792" s="35"/>
    </row>
    <row r="793" spans="2:4" x14ac:dyDescent="0.2">
      <c r="B793" s="35"/>
      <c r="C793" s="35"/>
      <c r="D793" s="35"/>
    </row>
    <row r="794" spans="2:4" x14ac:dyDescent="0.2">
      <c r="B794" s="35"/>
      <c r="C794" s="35"/>
      <c r="D794" s="35"/>
    </row>
    <row r="795" spans="2:4" x14ac:dyDescent="0.2">
      <c r="B795" s="35"/>
      <c r="C795" s="35"/>
      <c r="D795" s="35"/>
    </row>
    <row r="796" spans="2:4" x14ac:dyDescent="0.2">
      <c r="B796" s="35"/>
      <c r="C796" s="35"/>
      <c r="D796" s="35"/>
    </row>
    <row r="797" spans="2:4" x14ac:dyDescent="0.2">
      <c r="B797" s="35"/>
      <c r="C797" s="35"/>
      <c r="D797" s="35"/>
    </row>
    <row r="798" spans="2:4" x14ac:dyDescent="0.2">
      <c r="B798" s="35"/>
      <c r="C798" s="35"/>
      <c r="D798" s="35"/>
    </row>
    <row r="799" spans="2:4" x14ac:dyDescent="0.2">
      <c r="B799" s="35"/>
      <c r="C799" s="35"/>
      <c r="D799" s="35"/>
    </row>
    <row r="800" spans="2:4" x14ac:dyDescent="0.2">
      <c r="B800" s="35"/>
      <c r="C800" s="35"/>
      <c r="D800" s="35"/>
    </row>
    <row r="801" spans="2:4" x14ac:dyDescent="0.2">
      <c r="B801" s="35"/>
      <c r="C801" s="35"/>
      <c r="D801" s="35"/>
    </row>
    <row r="802" spans="2:4" x14ac:dyDescent="0.2">
      <c r="B802" s="35"/>
      <c r="C802" s="35"/>
      <c r="D802" s="35"/>
    </row>
    <row r="803" spans="2:4" x14ac:dyDescent="0.2">
      <c r="B803" s="35"/>
      <c r="C803" s="35"/>
      <c r="D803" s="35"/>
    </row>
    <row r="804" spans="2:4" x14ac:dyDescent="0.2">
      <c r="B804" s="35"/>
      <c r="C804" s="35"/>
      <c r="D804" s="35"/>
    </row>
    <row r="805" spans="2:4" x14ac:dyDescent="0.2">
      <c r="B805" s="35"/>
      <c r="C805" s="35"/>
      <c r="D805" s="35"/>
    </row>
    <row r="806" spans="2:4" x14ac:dyDescent="0.2">
      <c r="B806" s="35"/>
      <c r="C806" s="35"/>
      <c r="D806" s="35"/>
    </row>
    <row r="807" spans="2:4" x14ac:dyDescent="0.2">
      <c r="B807" s="35"/>
      <c r="C807" s="35"/>
      <c r="D807" s="35"/>
    </row>
    <row r="808" spans="2:4" x14ac:dyDescent="0.2">
      <c r="B808" s="35"/>
      <c r="C808" s="35"/>
      <c r="D808" s="35"/>
    </row>
    <row r="809" spans="2:4" x14ac:dyDescent="0.2">
      <c r="B809" s="35"/>
      <c r="C809" s="35"/>
      <c r="D809" s="35"/>
    </row>
    <row r="810" spans="2:4" x14ac:dyDescent="0.2">
      <c r="B810" s="35"/>
      <c r="C810" s="35"/>
      <c r="D810" s="35"/>
    </row>
    <row r="811" spans="2:4" x14ac:dyDescent="0.2">
      <c r="B811" s="35"/>
      <c r="C811" s="35"/>
      <c r="D811" s="35"/>
    </row>
    <row r="812" spans="2:4" x14ac:dyDescent="0.2">
      <c r="B812" s="35"/>
      <c r="C812" s="35"/>
      <c r="D812" s="35"/>
    </row>
    <row r="813" spans="2:4" x14ac:dyDescent="0.2">
      <c r="B813" s="35"/>
      <c r="C813" s="35"/>
      <c r="D813" s="35"/>
    </row>
    <row r="814" spans="2:4" x14ac:dyDescent="0.2">
      <c r="B814" s="35"/>
      <c r="C814" s="35"/>
      <c r="D814" s="35"/>
    </row>
    <row r="815" spans="2:4" x14ac:dyDescent="0.2">
      <c r="B815" s="35"/>
      <c r="C815" s="35"/>
      <c r="D815" s="35"/>
    </row>
    <row r="816" spans="2:4" x14ac:dyDescent="0.2">
      <c r="B816" s="35"/>
      <c r="C816" s="35"/>
      <c r="D816" s="35"/>
    </row>
    <row r="817" spans="2:4" x14ac:dyDescent="0.2">
      <c r="B817" s="35"/>
      <c r="C817" s="35"/>
      <c r="D817" s="35"/>
    </row>
    <row r="818" spans="2:4" x14ac:dyDescent="0.2">
      <c r="B818" s="35"/>
      <c r="C818" s="35"/>
      <c r="D818" s="35"/>
    </row>
    <row r="819" spans="2:4" x14ac:dyDescent="0.2">
      <c r="B819" s="35"/>
      <c r="C819" s="35"/>
      <c r="D819" s="35"/>
    </row>
    <row r="820" spans="2:4" x14ac:dyDescent="0.2">
      <c r="B820" s="35"/>
      <c r="C820" s="35"/>
      <c r="D820" s="35"/>
    </row>
    <row r="821" spans="2:4" x14ac:dyDescent="0.2">
      <c r="B821" s="35"/>
      <c r="C821" s="35"/>
      <c r="D821" s="35"/>
    </row>
    <row r="822" spans="2:4" x14ac:dyDescent="0.2">
      <c r="B822" s="35"/>
      <c r="C822" s="35"/>
      <c r="D822" s="35"/>
    </row>
    <row r="823" spans="2:4" x14ac:dyDescent="0.2">
      <c r="B823" s="35"/>
      <c r="C823" s="35"/>
      <c r="D823" s="35"/>
    </row>
    <row r="824" spans="2:4" x14ac:dyDescent="0.2">
      <c r="B824" s="35"/>
      <c r="C824" s="35"/>
      <c r="D824" s="35"/>
    </row>
    <row r="825" spans="2:4" x14ac:dyDescent="0.2">
      <c r="B825" s="35"/>
      <c r="C825" s="35"/>
      <c r="D825" s="35"/>
    </row>
    <row r="826" spans="2:4" x14ac:dyDescent="0.2">
      <c r="B826" s="35"/>
      <c r="C826" s="35"/>
      <c r="D826" s="35"/>
    </row>
    <row r="827" spans="2:4" x14ac:dyDescent="0.2">
      <c r="B827" s="35"/>
      <c r="C827" s="35"/>
      <c r="D827" s="35"/>
    </row>
    <row r="828" spans="2:4" x14ac:dyDescent="0.2">
      <c r="B828" s="35"/>
      <c r="C828" s="35"/>
      <c r="D828" s="35"/>
    </row>
    <row r="829" spans="2:4" x14ac:dyDescent="0.2">
      <c r="B829" s="35"/>
      <c r="C829" s="35"/>
      <c r="D829" s="35"/>
    </row>
    <row r="830" spans="2:4" x14ac:dyDescent="0.2">
      <c r="B830" s="35"/>
      <c r="C830" s="35"/>
      <c r="D830" s="35"/>
    </row>
    <row r="831" spans="2:4" x14ac:dyDescent="0.2">
      <c r="B831" s="35"/>
      <c r="C831" s="35"/>
      <c r="D831" s="35"/>
    </row>
    <row r="832" spans="2:4" x14ac:dyDescent="0.2">
      <c r="B832" s="35"/>
      <c r="C832" s="35"/>
      <c r="D832" s="35"/>
    </row>
    <row r="833" spans="2:4" x14ac:dyDescent="0.2">
      <c r="B833" s="35"/>
      <c r="C833" s="35"/>
      <c r="D833" s="35"/>
    </row>
    <row r="834" spans="2:4" x14ac:dyDescent="0.2">
      <c r="B834" s="35"/>
      <c r="C834" s="35"/>
      <c r="D834" s="35"/>
    </row>
    <row r="835" spans="2:4" x14ac:dyDescent="0.2">
      <c r="B835" s="35"/>
      <c r="C835" s="35"/>
      <c r="D835" s="35"/>
    </row>
    <row r="836" spans="2:4" x14ac:dyDescent="0.2">
      <c r="B836" s="35"/>
      <c r="C836" s="35"/>
      <c r="D836" s="35"/>
    </row>
    <row r="837" spans="2:4" x14ac:dyDescent="0.2">
      <c r="B837" s="35"/>
      <c r="C837" s="35"/>
      <c r="D837" s="35"/>
    </row>
    <row r="838" spans="2:4" x14ac:dyDescent="0.2">
      <c r="B838" s="35"/>
      <c r="C838" s="35"/>
      <c r="D838" s="35"/>
    </row>
    <row r="839" spans="2:4" x14ac:dyDescent="0.2">
      <c r="B839" s="35"/>
      <c r="C839" s="35"/>
      <c r="D839" s="35"/>
    </row>
    <row r="840" spans="2:4" x14ac:dyDescent="0.2">
      <c r="B840" s="35"/>
      <c r="C840" s="35"/>
      <c r="D840" s="35"/>
    </row>
    <row r="841" spans="2:4" x14ac:dyDescent="0.2">
      <c r="B841" s="35"/>
      <c r="C841" s="35"/>
      <c r="D841" s="35"/>
    </row>
    <row r="842" spans="2:4" x14ac:dyDescent="0.2">
      <c r="B842" s="35"/>
      <c r="C842" s="35"/>
      <c r="D842" s="35"/>
    </row>
    <row r="843" spans="2:4" x14ac:dyDescent="0.2">
      <c r="B843" s="35"/>
      <c r="C843" s="35"/>
      <c r="D843" s="35"/>
    </row>
    <row r="844" spans="2:4" x14ac:dyDescent="0.2">
      <c r="B844" s="35"/>
      <c r="C844" s="35"/>
      <c r="D844" s="35"/>
    </row>
    <row r="845" spans="2:4" x14ac:dyDescent="0.2">
      <c r="B845" s="35"/>
      <c r="C845" s="35"/>
      <c r="D845" s="35"/>
    </row>
    <row r="846" spans="2:4" x14ac:dyDescent="0.2">
      <c r="B846" s="35"/>
      <c r="C846" s="35"/>
      <c r="D846" s="35"/>
    </row>
    <row r="847" spans="2:4" x14ac:dyDescent="0.2">
      <c r="B847" s="35"/>
      <c r="C847" s="35"/>
      <c r="D847" s="35"/>
    </row>
    <row r="848" spans="2:4" x14ac:dyDescent="0.2">
      <c r="B848" s="35"/>
      <c r="C848" s="35"/>
      <c r="D848" s="35"/>
    </row>
    <row r="849" spans="2:4" x14ac:dyDescent="0.2">
      <c r="B849" s="35"/>
      <c r="C849" s="35"/>
      <c r="D849" s="35"/>
    </row>
    <row r="850" spans="2:4" x14ac:dyDescent="0.2">
      <c r="B850" s="35"/>
      <c r="C850" s="35"/>
      <c r="D850" s="35"/>
    </row>
    <row r="851" spans="2:4" x14ac:dyDescent="0.2">
      <c r="B851" s="35"/>
      <c r="C851" s="35"/>
      <c r="D851" s="35"/>
    </row>
    <row r="852" spans="2:4" x14ac:dyDescent="0.2">
      <c r="B852" s="35"/>
      <c r="C852" s="35"/>
      <c r="D852" s="35"/>
    </row>
    <row r="853" spans="2:4" x14ac:dyDescent="0.2">
      <c r="B853" s="35"/>
      <c r="C853" s="35"/>
      <c r="D853" s="35"/>
    </row>
    <row r="854" spans="2:4" x14ac:dyDescent="0.2">
      <c r="B854" s="35"/>
      <c r="C854" s="35"/>
      <c r="D854" s="35"/>
    </row>
    <row r="855" spans="2:4" x14ac:dyDescent="0.2">
      <c r="B855" s="35"/>
      <c r="C855" s="35"/>
      <c r="D855" s="35"/>
    </row>
    <row r="856" spans="2:4" x14ac:dyDescent="0.2">
      <c r="B856" s="35"/>
      <c r="C856" s="35"/>
      <c r="D856" s="35"/>
    </row>
    <row r="857" spans="2:4" x14ac:dyDescent="0.2">
      <c r="B857" s="35"/>
      <c r="C857" s="35"/>
      <c r="D857" s="35"/>
    </row>
    <row r="858" spans="2:4" x14ac:dyDescent="0.2">
      <c r="B858" s="35"/>
      <c r="C858" s="35"/>
      <c r="D858" s="35"/>
    </row>
    <row r="859" spans="2:4" x14ac:dyDescent="0.2">
      <c r="B859" s="35"/>
      <c r="C859" s="35"/>
      <c r="D859" s="35"/>
    </row>
    <row r="860" spans="2:4" x14ac:dyDescent="0.2">
      <c r="B860" s="35"/>
      <c r="C860" s="35"/>
      <c r="D860" s="35"/>
    </row>
    <row r="861" spans="2:4" x14ac:dyDescent="0.2">
      <c r="B861" s="35"/>
      <c r="C861" s="35"/>
      <c r="D861" s="35"/>
    </row>
    <row r="862" spans="2:4" x14ac:dyDescent="0.2">
      <c r="B862" s="35"/>
      <c r="C862" s="35"/>
      <c r="D862" s="35"/>
    </row>
    <row r="863" spans="2:4" x14ac:dyDescent="0.2">
      <c r="B863" s="35"/>
      <c r="C863" s="35"/>
      <c r="D863" s="35"/>
    </row>
    <row r="864" spans="2:4" x14ac:dyDescent="0.2">
      <c r="B864" s="35"/>
      <c r="C864" s="35"/>
      <c r="D864" s="35"/>
    </row>
    <row r="865" spans="2:4" x14ac:dyDescent="0.2">
      <c r="B865" s="35"/>
      <c r="C865" s="35"/>
      <c r="D865" s="35"/>
    </row>
    <row r="866" spans="2:4" x14ac:dyDescent="0.2">
      <c r="B866" s="35"/>
      <c r="C866" s="35"/>
      <c r="D866" s="35"/>
    </row>
    <row r="867" spans="2:4" x14ac:dyDescent="0.2">
      <c r="B867" s="35"/>
      <c r="C867" s="35"/>
      <c r="D867" s="35"/>
    </row>
    <row r="868" spans="2:4" x14ac:dyDescent="0.2">
      <c r="B868" s="35"/>
      <c r="C868" s="35"/>
      <c r="D868" s="35"/>
    </row>
    <row r="869" spans="2:4" x14ac:dyDescent="0.2">
      <c r="B869" s="35"/>
      <c r="C869" s="35"/>
      <c r="D869" s="35"/>
    </row>
    <row r="870" spans="2:4" x14ac:dyDescent="0.2">
      <c r="B870" s="35"/>
      <c r="C870" s="35"/>
      <c r="D870" s="35"/>
    </row>
    <row r="871" spans="2:4" x14ac:dyDescent="0.2">
      <c r="B871" s="35"/>
      <c r="C871" s="35"/>
      <c r="D871" s="35"/>
    </row>
    <row r="872" spans="2:4" x14ac:dyDescent="0.2">
      <c r="B872" s="35"/>
      <c r="C872" s="35"/>
      <c r="D872" s="35"/>
    </row>
    <row r="873" spans="2:4" x14ac:dyDescent="0.2">
      <c r="B873" s="35"/>
      <c r="C873" s="35"/>
      <c r="D873" s="35"/>
    </row>
    <row r="874" spans="2:4" x14ac:dyDescent="0.2">
      <c r="B874" s="35"/>
      <c r="C874" s="35"/>
      <c r="D874" s="35"/>
    </row>
    <row r="875" spans="2:4" x14ac:dyDescent="0.2">
      <c r="B875" s="35"/>
      <c r="C875" s="35"/>
      <c r="D875" s="35"/>
    </row>
    <row r="876" spans="2:4" x14ac:dyDescent="0.2">
      <c r="B876" s="35"/>
      <c r="C876" s="35"/>
      <c r="D876" s="35"/>
    </row>
    <row r="877" spans="2:4" x14ac:dyDescent="0.2">
      <c r="B877" s="35"/>
      <c r="C877" s="35"/>
      <c r="D877" s="35"/>
    </row>
    <row r="878" spans="2:4" x14ac:dyDescent="0.2">
      <c r="B878" s="35"/>
      <c r="C878" s="35"/>
      <c r="D878" s="35"/>
    </row>
    <row r="879" spans="2:4" x14ac:dyDescent="0.2">
      <c r="B879" s="35"/>
      <c r="C879" s="35"/>
      <c r="D879" s="35"/>
    </row>
    <row r="880" spans="2:4" x14ac:dyDescent="0.2">
      <c r="B880" s="35"/>
      <c r="C880" s="35"/>
      <c r="D880" s="35"/>
    </row>
    <row r="881" spans="2:4" x14ac:dyDescent="0.2">
      <c r="B881" s="35"/>
      <c r="C881" s="35"/>
      <c r="D881" s="35"/>
    </row>
    <row r="882" spans="2:4" x14ac:dyDescent="0.2">
      <c r="B882" s="35"/>
      <c r="C882" s="35"/>
      <c r="D882" s="35"/>
    </row>
    <row r="883" spans="2:4" x14ac:dyDescent="0.2">
      <c r="B883" s="35"/>
      <c r="C883" s="35"/>
      <c r="D883" s="35"/>
    </row>
    <row r="884" spans="2:4" x14ac:dyDescent="0.2">
      <c r="B884" s="35"/>
      <c r="C884" s="35"/>
      <c r="D884" s="35"/>
    </row>
    <row r="885" spans="2:4" x14ac:dyDescent="0.2">
      <c r="B885" s="35"/>
      <c r="C885" s="35"/>
      <c r="D885" s="35"/>
    </row>
    <row r="886" spans="2:4" x14ac:dyDescent="0.2">
      <c r="B886" s="35"/>
      <c r="C886" s="35"/>
      <c r="D886" s="35"/>
    </row>
    <row r="887" spans="2:4" x14ac:dyDescent="0.2">
      <c r="B887" s="35"/>
      <c r="C887" s="35"/>
      <c r="D887" s="35"/>
    </row>
    <row r="888" spans="2:4" x14ac:dyDescent="0.2">
      <c r="B888" s="35"/>
      <c r="C888" s="35"/>
      <c r="D888" s="35"/>
    </row>
    <row r="889" spans="2:4" x14ac:dyDescent="0.2">
      <c r="B889" s="35"/>
      <c r="C889" s="35"/>
      <c r="D889" s="35"/>
    </row>
    <row r="890" spans="2:4" x14ac:dyDescent="0.2">
      <c r="B890" s="35"/>
      <c r="C890" s="35"/>
      <c r="D890" s="35"/>
    </row>
    <row r="891" spans="2:4" x14ac:dyDescent="0.2">
      <c r="B891" s="35"/>
      <c r="C891" s="35"/>
      <c r="D891" s="35"/>
    </row>
    <row r="892" spans="2:4" x14ac:dyDescent="0.2">
      <c r="B892" s="35"/>
      <c r="C892" s="35"/>
      <c r="D892" s="35"/>
    </row>
    <row r="893" spans="2:4" x14ac:dyDescent="0.2">
      <c r="B893" s="35"/>
      <c r="C893" s="35"/>
      <c r="D893" s="35"/>
    </row>
    <row r="894" spans="2:4" x14ac:dyDescent="0.2">
      <c r="B894" s="35"/>
      <c r="C894" s="35"/>
      <c r="D894" s="35"/>
    </row>
    <row r="895" spans="2:4" x14ac:dyDescent="0.2">
      <c r="B895" s="35"/>
      <c r="C895" s="35"/>
      <c r="D895" s="35"/>
    </row>
    <row r="896" spans="2:4" x14ac:dyDescent="0.2">
      <c r="B896" s="35"/>
      <c r="C896" s="35"/>
      <c r="D896" s="35"/>
    </row>
    <row r="897" spans="2:4" x14ac:dyDescent="0.2">
      <c r="B897" s="35"/>
      <c r="C897" s="35"/>
      <c r="D897" s="35"/>
    </row>
    <row r="898" spans="2:4" x14ac:dyDescent="0.2">
      <c r="B898" s="35"/>
      <c r="C898" s="35"/>
      <c r="D898" s="35"/>
    </row>
    <row r="899" spans="2:4" x14ac:dyDescent="0.2">
      <c r="B899" s="35"/>
      <c r="C899" s="35"/>
      <c r="D899" s="35"/>
    </row>
    <row r="900" spans="2:4" x14ac:dyDescent="0.2">
      <c r="B900" s="35"/>
      <c r="C900" s="35"/>
      <c r="D900" s="35"/>
    </row>
    <row r="901" spans="2:4" x14ac:dyDescent="0.2">
      <c r="B901" s="35"/>
      <c r="C901" s="35"/>
      <c r="D901" s="35"/>
    </row>
    <row r="902" spans="2:4" x14ac:dyDescent="0.2">
      <c r="B902" s="35"/>
      <c r="C902" s="35"/>
      <c r="D902" s="35"/>
    </row>
    <row r="903" spans="2:4" x14ac:dyDescent="0.2">
      <c r="B903" s="35"/>
      <c r="C903" s="35"/>
      <c r="D903" s="35"/>
    </row>
    <row r="904" spans="2:4" x14ac:dyDescent="0.2">
      <c r="B904" s="35"/>
      <c r="C904" s="35"/>
      <c r="D904" s="35"/>
    </row>
    <row r="905" spans="2:4" x14ac:dyDescent="0.2">
      <c r="B905" s="35"/>
      <c r="C905" s="35"/>
      <c r="D905" s="35"/>
    </row>
    <row r="906" spans="2:4" x14ac:dyDescent="0.2">
      <c r="B906" s="35"/>
      <c r="C906" s="35"/>
      <c r="D906" s="35"/>
    </row>
    <row r="907" spans="2:4" x14ac:dyDescent="0.2">
      <c r="B907" s="35"/>
      <c r="C907" s="35"/>
      <c r="D907" s="35"/>
    </row>
    <row r="908" spans="2:4" x14ac:dyDescent="0.2">
      <c r="B908" s="35"/>
      <c r="C908" s="35"/>
      <c r="D908" s="35"/>
    </row>
    <row r="909" spans="2:4" x14ac:dyDescent="0.2">
      <c r="B909" s="35"/>
      <c r="C909" s="35"/>
      <c r="D909" s="35"/>
    </row>
    <row r="910" spans="2:4" x14ac:dyDescent="0.2">
      <c r="B910" s="35"/>
      <c r="C910" s="35"/>
      <c r="D910" s="35"/>
    </row>
    <row r="911" spans="2:4" x14ac:dyDescent="0.2">
      <c r="B911" s="35"/>
      <c r="C911" s="35"/>
      <c r="D911" s="35"/>
    </row>
    <row r="912" spans="2:4" x14ac:dyDescent="0.2">
      <c r="B912" s="35"/>
      <c r="C912" s="35"/>
      <c r="D912" s="35"/>
    </row>
    <row r="913" spans="2:4" x14ac:dyDescent="0.2">
      <c r="B913" s="35"/>
      <c r="C913" s="35"/>
      <c r="D913" s="35"/>
    </row>
    <row r="914" spans="2:4" x14ac:dyDescent="0.2">
      <c r="B914" s="35"/>
      <c r="C914" s="35"/>
      <c r="D914" s="35"/>
    </row>
    <row r="915" spans="2:4" x14ac:dyDescent="0.2">
      <c r="B915" s="35"/>
      <c r="C915" s="35"/>
      <c r="D915" s="35"/>
    </row>
    <row r="916" spans="2:4" x14ac:dyDescent="0.2">
      <c r="B916" s="35"/>
      <c r="C916" s="35"/>
      <c r="D916" s="35"/>
    </row>
    <row r="917" spans="2:4" x14ac:dyDescent="0.2">
      <c r="B917" s="35"/>
      <c r="C917" s="35"/>
      <c r="D917" s="35"/>
    </row>
    <row r="918" spans="2:4" x14ac:dyDescent="0.2">
      <c r="B918" s="35"/>
      <c r="C918" s="35"/>
      <c r="D918" s="35"/>
    </row>
    <row r="919" spans="2:4" x14ac:dyDescent="0.2">
      <c r="B919" s="35"/>
      <c r="C919" s="35"/>
      <c r="D919" s="35"/>
    </row>
    <row r="920" spans="2:4" x14ac:dyDescent="0.2">
      <c r="B920" s="35"/>
      <c r="C920" s="35"/>
      <c r="D920" s="35"/>
    </row>
    <row r="921" spans="2:4" x14ac:dyDescent="0.2">
      <c r="B921" s="35"/>
      <c r="C921" s="35"/>
      <c r="D921" s="35"/>
    </row>
    <row r="922" spans="2:4" x14ac:dyDescent="0.2">
      <c r="B922" s="35"/>
      <c r="C922" s="35"/>
      <c r="D922" s="35"/>
    </row>
    <row r="923" spans="2:4" x14ac:dyDescent="0.2">
      <c r="B923" s="35"/>
      <c r="C923" s="35"/>
      <c r="D923" s="35"/>
    </row>
    <row r="924" spans="2:4" x14ac:dyDescent="0.2">
      <c r="B924" s="35"/>
      <c r="C924" s="35"/>
      <c r="D924" s="35"/>
    </row>
    <row r="925" spans="2:4" x14ac:dyDescent="0.2">
      <c r="B925" s="35"/>
      <c r="C925" s="35"/>
      <c r="D925" s="35"/>
    </row>
    <row r="926" spans="2:4" x14ac:dyDescent="0.2">
      <c r="B926" s="35"/>
      <c r="C926" s="35"/>
      <c r="D926" s="35"/>
    </row>
    <row r="927" spans="2:4" x14ac:dyDescent="0.2">
      <c r="B927" s="35"/>
      <c r="C927" s="35"/>
      <c r="D927" s="35"/>
    </row>
    <row r="928" spans="2:4" x14ac:dyDescent="0.2">
      <c r="B928" s="35"/>
      <c r="C928" s="35"/>
      <c r="D928" s="35"/>
    </row>
    <row r="929" spans="2:4" x14ac:dyDescent="0.2">
      <c r="B929" s="35"/>
      <c r="C929" s="35"/>
      <c r="D929" s="35"/>
    </row>
    <row r="930" spans="2:4" x14ac:dyDescent="0.2">
      <c r="B930" s="35"/>
      <c r="C930" s="35"/>
      <c r="D930" s="35"/>
    </row>
    <row r="931" spans="2:4" x14ac:dyDescent="0.2">
      <c r="B931" s="35"/>
      <c r="C931" s="35"/>
      <c r="D931" s="35"/>
    </row>
    <row r="932" spans="2:4" x14ac:dyDescent="0.2">
      <c r="B932" s="35"/>
      <c r="C932" s="35"/>
      <c r="D932" s="35"/>
    </row>
    <row r="933" spans="2:4" x14ac:dyDescent="0.2">
      <c r="B933" s="35"/>
      <c r="C933" s="35"/>
      <c r="D933" s="35"/>
    </row>
    <row r="934" spans="2:4" x14ac:dyDescent="0.2">
      <c r="B934" s="35"/>
      <c r="C934" s="35"/>
      <c r="D934" s="35"/>
    </row>
    <row r="935" spans="2:4" x14ac:dyDescent="0.2">
      <c r="B935" s="35"/>
      <c r="C935" s="35"/>
      <c r="D935" s="35"/>
    </row>
    <row r="936" spans="2:4" x14ac:dyDescent="0.2">
      <c r="B936" s="35"/>
      <c r="C936" s="35"/>
      <c r="D936" s="35"/>
    </row>
    <row r="937" spans="2:4" x14ac:dyDescent="0.2">
      <c r="B937" s="35"/>
      <c r="C937" s="35"/>
      <c r="D937" s="35"/>
    </row>
    <row r="938" spans="2:4" x14ac:dyDescent="0.2">
      <c r="B938" s="35"/>
      <c r="C938" s="35"/>
      <c r="D938" s="35"/>
    </row>
    <row r="939" spans="2:4" x14ac:dyDescent="0.2">
      <c r="B939" s="35"/>
      <c r="C939" s="35"/>
      <c r="D939" s="35"/>
    </row>
    <row r="940" spans="2:4" x14ac:dyDescent="0.2">
      <c r="B940" s="35"/>
      <c r="C940" s="35"/>
      <c r="D940" s="35"/>
    </row>
    <row r="941" spans="2:4" x14ac:dyDescent="0.2">
      <c r="B941" s="35"/>
      <c r="C941" s="35"/>
      <c r="D941" s="35"/>
    </row>
    <row r="942" spans="2:4" x14ac:dyDescent="0.2">
      <c r="B942" s="35"/>
      <c r="C942" s="35"/>
      <c r="D942" s="35"/>
    </row>
    <row r="943" spans="2:4" x14ac:dyDescent="0.2">
      <c r="B943" s="35"/>
      <c r="C943" s="35"/>
      <c r="D943" s="35"/>
    </row>
    <row r="944" spans="2:4" x14ac:dyDescent="0.2">
      <c r="B944" s="35"/>
      <c r="C944" s="35"/>
      <c r="D944" s="35"/>
    </row>
    <row r="945" spans="2:4" x14ac:dyDescent="0.2">
      <c r="B945" s="35"/>
      <c r="C945" s="35"/>
      <c r="D945" s="35"/>
    </row>
    <row r="946" spans="2:4" x14ac:dyDescent="0.2">
      <c r="B946" s="35"/>
      <c r="C946" s="35"/>
      <c r="D946" s="35"/>
    </row>
    <row r="947" spans="2:4" x14ac:dyDescent="0.2">
      <c r="B947" s="35"/>
      <c r="C947" s="35"/>
      <c r="D947" s="35"/>
    </row>
    <row r="948" spans="2:4" x14ac:dyDescent="0.2">
      <c r="B948" s="35"/>
      <c r="C948" s="35"/>
      <c r="D948" s="35"/>
    </row>
    <row r="949" spans="2:4" x14ac:dyDescent="0.2">
      <c r="B949" s="35"/>
      <c r="C949" s="35"/>
      <c r="D949" s="35"/>
    </row>
    <row r="950" spans="2:4" x14ac:dyDescent="0.2">
      <c r="B950" s="35"/>
      <c r="C950" s="35"/>
      <c r="D950" s="35"/>
    </row>
    <row r="951" spans="2:4" x14ac:dyDescent="0.2">
      <c r="B951" s="35"/>
      <c r="C951" s="35"/>
      <c r="D951" s="35"/>
    </row>
    <row r="952" spans="2:4" x14ac:dyDescent="0.2">
      <c r="B952" s="35"/>
      <c r="C952" s="35"/>
      <c r="D952" s="35"/>
    </row>
    <row r="953" spans="2:4" x14ac:dyDescent="0.2">
      <c r="B953" s="35"/>
      <c r="C953" s="35"/>
      <c r="D953" s="35"/>
    </row>
    <row r="954" spans="2:4" x14ac:dyDescent="0.2">
      <c r="B954" s="35"/>
      <c r="C954" s="35"/>
      <c r="D954" s="35"/>
    </row>
    <row r="955" spans="2:4" x14ac:dyDescent="0.2">
      <c r="B955" s="35"/>
      <c r="C955" s="35"/>
      <c r="D955" s="35"/>
    </row>
    <row r="956" spans="2:4" x14ac:dyDescent="0.2">
      <c r="B956" s="35"/>
      <c r="C956" s="35"/>
      <c r="D956" s="35"/>
    </row>
    <row r="957" spans="2:4" x14ac:dyDescent="0.2">
      <c r="B957" s="35"/>
      <c r="C957" s="35"/>
      <c r="D957" s="35"/>
    </row>
    <row r="958" spans="2:4" x14ac:dyDescent="0.2">
      <c r="B958" s="35"/>
      <c r="C958" s="35"/>
      <c r="D958" s="35"/>
    </row>
    <row r="959" spans="2:4" x14ac:dyDescent="0.2">
      <c r="B959" s="35"/>
      <c r="C959" s="35"/>
      <c r="D959" s="35"/>
    </row>
    <row r="960" spans="2:4" x14ac:dyDescent="0.2">
      <c r="B960" s="35"/>
      <c r="C960" s="35"/>
      <c r="D960" s="35"/>
    </row>
    <row r="961" spans="2:4" x14ac:dyDescent="0.2">
      <c r="B961" s="35"/>
      <c r="C961" s="35"/>
      <c r="D961" s="35"/>
    </row>
    <row r="962" spans="2:4" x14ac:dyDescent="0.2">
      <c r="B962" s="35"/>
      <c r="C962" s="35"/>
      <c r="D962" s="35"/>
    </row>
    <row r="963" spans="2:4" x14ac:dyDescent="0.2">
      <c r="B963" s="35"/>
      <c r="C963" s="35"/>
      <c r="D963" s="35"/>
    </row>
    <row r="964" spans="2:4" x14ac:dyDescent="0.2">
      <c r="B964" s="35"/>
      <c r="C964" s="35"/>
      <c r="D964" s="35"/>
    </row>
    <row r="965" spans="2:4" x14ac:dyDescent="0.2">
      <c r="B965" s="35"/>
      <c r="C965" s="35"/>
      <c r="D965" s="35"/>
    </row>
    <row r="966" spans="2:4" x14ac:dyDescent="0.2">
      <c r="B966" s="35"/>
      <c r="C966" s="35"/>
      <c r="D966" s="35"/>
    </row>
    <row r="967" spans="2:4" x14ac:dyDescent="0.2">
      <c r="B967" s="35"/>
      <c r="C967" s="35"/>
      <c r="D967" s="35"/>
    </row>
    <row r="968" spans="2:4" x14ac:dyDescent="0.2">
      <c r="B968" s="35"/>
      <c r="C968" s="35"/>
      <c r="D968" s="35"/>
    </row>
    <row r="969" spans="2:4" x14ac:dyDescent="0.2">
      <c r="B969" s="35"/>
      <c r="C969" s="35"/>
      <c r="D969" s="35"/>
    </row>
    <row r="970" spans="2:4" x14ac:dyDescent="0.2">
      <c r="B970" s="35"/>
      <c r="C970" s="35"/>
      <c r="D970" s="35"/>
    </row>
    <row r="971" spans="2:4" x14ac:dyDescent="0.2">
      <c r="B971" s="35"/>
      <c r="C971" s="35"/>
      <c r="D971" s="35"/>
    </row>
    <row r="972" spans="2:4" x14ac:dyDescent="0.2">
      <c r="B972" s="35"/>
      <c r="C972" s="35"/>
      <c r="D972" s="35"/>
    </row>
    <row r="973" spans="2:4" x14ac:dyDescent="0.2">
      <c r="B973" s="35"/>
      <c r="C973" s="35"/>
      <c r="D973" s="35"/>
    </row>
    <row r="974" spans="2:4" x14ac:dyDescent="0.2">
      <c r="B974" s="35"/>
      <c r="C974" s="35"/>
      <c r="D974" s="35"/>
    </row>
    <row r="975" spans="2:4" x14ac:dyDescent="0.2">
      <c r="B975" s="35"/>
      <c r="C975" s="35"/>
      <c r="D975" s="35"/>
    </row>
    <row r="976" spans="2:4" x14ac:dyDescent="0.2">
      <c r="B976" s="35"/>
      <c r="C976" s="35"/>
      <c r="D976" s="35"/>
    </row>
    <row r="977" spans="2:4" x14ac:dyDescent="0.2">
      <c r="B977" s="35"/>
      <c r="C977" s="35"/>
      <c r="D977" s="35"/>
    </row>
    <row r="978" spans="2:4" x14ac:dyDescent="0.2">
      <c r="B978" s="35"/>
      <c r="C978" s="35"/>
      <c r="D978" s="35"/>
    </row>
    <row r="979" spans="2:4" x14ac:dyDescent="0.2">
      <c r="B979" s="35"/>
      <c r="C979" s="35"/>
      <c r="D979" s="35"/>
    </row>
    <row r="980" spans="2:4" x14ac:dyDescent="0.2">
      <c r="B980" s="35"/>
      <c r="C980" s="35"/>
      <c r="D980" s="35"/>
    </row>
    <row r="981" spans="2:4" x14ac:dyDescent="0.2">
      <c r="B981" s="35"/>
      <c r="C981" s="35"/>
      <c r="D981" s="35"/>
    </row>
    <row r="982" spans="2:4" x14ac:dyDescent="0.2">
      <c r="B982" s="35"/>
      <c r="C982" s="35"/>
      <c r="D982" s="35"/>
    </row>
    <row r="983" spans="2:4" x14ac:dyDescent="0.2">
      <c r="B983" s="35"/>
      <c r="C983" s="35"/>
      <c r="D983" s="35"/>
    </row>
    <row r="984" spans="2:4" x14ac:dyDescent="0.2">
      <c r="B984" s="35"/>
      <c r="C984" s="35"/>
      <c r="D984" s="35"/>
    </row>
    <row r="985" spans="2:4" x14ac:dyDescent="0.2">
      <c r="B985" s="35"/>
      <c r="C985" s="35"/>
      <c r="D985" s="35"/>
    </row>
    <row r="986" spans="2:4" x14ac:dyDescent="0.2">
      <c r="B986" s="35"/>
      <c r="C986" s="35"/>
      <c r="D986" s="35"/>
    </row>
    <row r="987" spans="2:4" x14ac:dyDescent="0.2">
      <c r="B987" s="35"/>
      <c r="C987" s="35"/>
      <c r="D987" s="35"/>
    </row>
    <row r="988" spans="2:4" x14ac:dyDescent="0.2">
      <c r="B988" s="35"/>
      <c r="C988" s="35"/>
      <c r="D988" s="35"/>
    </row>
    <row r="989" spans="2:4" x14ac:dyDescent="0.2">
      <c r="B989" s="35"/>
      <c r="C989" s="35"/>
      <c r="D989" s="35"/>
    </row>
    <row r="990" spans="2:4" x14ac:dyDescent="0.2">
      <c r="B990" s="35"/>
      <c r="C990" s="35"/>
      <c r="D990" s="35"/>
    </row>
    <row r="991" spans="2:4" x14ac:dyDescent="0.2">
      <c r="B991" s="35"/>
      <c r="C991" s="35"/>
      <c r="D991" s="35"/>
    </row>
    <row r="992" spans="2:4" x14ac:dyDescent="0.2">
      <c r="B992" s="35"/>
      <c r="C992" s="35"/>
      <c r="D992" s="35"/>
    </row>
    <row r="993" spans="2:4" x14ac:dyDescent="0.2">
      <c r="B993" s="35"/>
      <c r="C993" s="35"/>
      <c r="D993" s="35"/>
    </row>
    <row r="994" spans="2:4" x14ac:dyDescent="0.2">
      <c r="B994" s="35"/>
      <c r="C994" s="35"/>
      <c r="D994" s="35"/>
    </row>
    <row r="995" spans="2:4" x14ac:dyDescent="0.2">
      <c r="B995" s="35"/>
      <c r="C995" s="35"/>
      <c r="D995" s="35"/>
    </row>
    <row r="996" spans="2:4" x14ac:dyDescent="0.2">
      <c r="B996" s="35"/>
      <c r="C996" s="35"/>
      <c r="D996" s="35"/>
    </row>
    <row r="997" spans="2:4" x14ac:dyDescent="0.2">
      <c r="B997" s="35"/>
      <c r="C997" s="35"/>
      <c r="D997" s="35"/>
    </row>
    <row r="998" spans="2:4" x14ac:dyDescent="0.2">
      <c r="B998" s="35"/>
      <c r="C998" s="35"/>
      <c r="D998" s="35"/>
    </row>
    <row r="999" spans="2:4" x14ac:dyDescent="0.2">
      <c r="B999" s="35"/>
      <c r="C999" s="35"/>
      <c r="D999" s="35"/>
    </row>
    <row r="1000" spans="2:4" x14ac:dyDescent="0.2">
      <c r="B1000" s="35"/>
      <c r="C1000" s="35"/>
      <c r="D1000" s="35"/>
    </row>
    <row r="1001" spans="2:4" x14ac:dyDescent="0.2">
      <c r="B1001" s="35"/>
      <c r="C1001" s="35"/>
      <c r="D1001" s="35"/>
    </row>
    <row r="1002" spans="2:4" x14ac:dyDescent="0.2">
      <c r="B1002" s="35"/>
      <c r="C1002" s="35"/>
      <c r="D1002" s="35"/>
    </row>
    <row r="1003" spans="2:4" x14ac:dyDescent="0.2">
      <c r="B1003" s="35"/>
      <c r="C1003" s="35"/>
      <c r="D1003" s="35"/>
    </row>
    <row r="1004" spans="2:4" x14ac:dyDescent="0.2">
      <c r="B1004" s="35"/>
      <c r="C1004" s="35"/>
      <c r="D1004" s="35"/>
    </row>
    <row r="1005" spans="2:4" x14ac:dyDescent="0.2">
      <c r="B1005" s="35"/>
      <c r="C1005" s="35"/>
      <c r="D1005" s="35"/>
    </row>
    <row r="1006" spans="2:4" x14ac:dyDescent="0.2">
      <c r="B1006" s="35"/>
      <c r="C1006" s="35"/>
      <c r="D1006" s="35"/>
    </row>
    <row r="1007" spans="2:4" x14ac:dyDescent="0.2">
      <c r="B1007" s="35"/>
      <c r="C1007" s="35"/>
      <c r="D1007" s="35"/>
    </row>
    <row r="1008" spans="2:4" x14ac:dyDescent="0.2">
      <c r="B1008" s="35"/>
      <c r="C1008" s="35"/>
      <c r="D1008" s="35"/>
    </row>
    <row r="1009" spans="2:4" x14ac:dyDescent="0.2">
      <c r="B1009" s="35"/>
      <c r="C1009" s="35"/>
      <c r="D1009" s="35"/>
    </row>
    <row r="1010" spans="2:4" x14ac:dyDescent="0.2">
      <c r="B1010" s="35"/>
      <c r="C1010" s="35"/>
      <c r="D1010" s="35"/>
    </row>
    <row r="1011" spans="2:4" x14ac:dyDescent="0.2">
      <c r="B1011" s="35"/>
      <c r="C1011" s="35"/>
      <c r="D1011" s="35"/>
    </row>
    <row r="1012" spans="2:4" x14ac:dyDescent="0.2">
      <c r="B1012" s="35"/>
      <c r="C1012" s="35"/>
      <c r="D1012" s="35"/>
    </row>
    <row r="1013" spans="2:4" x14ac:dyDescent="0.2">
      <c r="B1013" s="35"/>
      <c r="C1013" s="35"/>
      <c r="D1013" s="35"/>
    </row>
    <row r="1014" spans="2:4" x14ac:dyDescent="0.2">
      <c r="B1014" s="35"/>
      <c r="C1014" s="35"/>
      <c r="D1014" s="35"/>
    </row>
    <row r="1015" spans="2:4" x14ac:dyDescent="0.2">
      <c r="B1015" s="35"/>
      <c r="C1015" s="35"/>
      <c r="D1015" s="35"/>
    </row>
    <row r="1016" spans="2:4" x14ac:dyDescent="0.2">
      <c r="B1016" s="35"/>
      <c r="C1016" s="35"/>
      <c r="D1016" s="35"/>
    </row>
    <row r="1017" spans="2:4" x14ac:dyDescent="0.2">
      <c r="B1017" s="35"/>
      <c r="C1017" s="35"/>
      <c r="D1017" s="35"/>
    </row>
    <row r="1018" spans="2:4" x14ac:dyDescent="0.2">
      <c r="B1018" s="35"/>
      <c r="C1018" s="35"/>
      <c r="D1018" s="35"/>
    </row>
    <row r="1019" spans="2:4" x14ac:dyDescent="0.2">
      <c r="B1019" s="35"/>
      <c r="C1019" s="35"/>
      <c r="D1019" s="35"/>
    </row>
    <row r="1020" spans="2:4" x14ac:dyDescent="0.2">
      <c r="B1020" s="35"/>
      <c r="C1020" s="35"/>
      <c r="D1020" s="35"/>
    </row>
    <row r="1021" spans="2:4" x14ac:dyDescent="0.2">
      <c r="B1021" s="35"/>
      <c r="C1021" s="35"/>
      <c r="D1021" s="35"/>
    </row>
    <row r="1022" spans="2:4" x14ac:dyDescent="0.2">
      <c r="B1022" s="35"/>
      <c r="C1022" s="35"/>
      <c r="D1022" s="35"/>
    </row>
    <row r="1023" spans="2:4" x14ac:dyDescent="0.2">
      <c r="B1023" s="35"/>
      <c r="C1023" s="35"/>
      <c r="D1023" s="35"/>
    </row>
    <row r="1024" spans="2:4" x14ac:dyDescent="0.2">
      <c r="B1024" s="35"/>
      <c r="C1024" s="35"/>
      <c r="D1024" s="35"/>
    </row>
    <row r="1025" spans="2:4" x14ac:dyDescent="0.2">
      <c r="B1025" s="35"/>
      <c r="C1025" s="35"/>
      <c r="D1025" s="35"/>
    </row>
    <row r="1026" spans="2:4" x14ac:dyDescent="0.2">
      <c r="B1026" s="35"/>
      <c r="C1026" s="35"/>
      <c r="D1026" s="35"/>
    </row>
    <row r="1027" spans="2:4" x14ac:dyDescent="0.2">
      <c r="B1027" s="35"/>
      <c r="C1027" s="35"/>
      <c r="D1027" s="35"/>
    </row>
    <row r="1028" spans="2:4" x14ac:dyDescent="0.2">
      <c r="B1028" s="35"/>
      <c r="C1028" s="35"/>
      <c r="D1028" s="35"/>
    </row>
    <row r="1029" spans="2:4" x14ac:dyDescent="0.2">
      <c r="B1029" s="35"/>
      <c r="C1029" s="35"/>
      <c r="D1029" s="35"/>
    </row>
    <row r="1030" spans="2:4" x14ac:dyDescent="0.2">
      <c r="B1030" s="35"/>
      <c r="C1030" s="35"/>
      <c r="D1030" s="35"/>
    </row>
    <row r="1031" spans="2:4" x14ac:dyDescent="0.2">
      <c r="B1031" s="35"/>
      <c r="C1031" s="35"/>
      <c r="D1031" s="35"/>
    </row>
    <row r="1032" spans="2:4" x14ac:dyDescent="0.2">
      <c r="B1032" s="35"/>
      <c r="C1032" s="35"/>
      <c r="D1032" s="35"/>
    </row>
    <row r="1033" spans="2:4" x14ac:dyDescent="0.2">
      <c r="B1033" s="35"/>
      <c r="C1033" s="35"/>
      <c r="D1033" s="35"/>
    </row>
    <row r="1034" spans="2:4" x14ac:dyDescent="0.2">
      <c r="B1034" s="35"/>
      <c r="C1034" s="35"/>
      <c r="D1034" s="35"/>
    </row>
    <row r="1035" spans="2:4" x14ac:dyDescent="0.2">
      <c r="B1035" s="35"/>
      <c r="C1035" s="35"/>
      <c r="D1035" s="35"/>
    </row>
    <row r="1036" spans="2:4" x14ac:dyDescent="0.2">
      <c r="B1036" s="35"/>
      <c r="C1036" s="35"/>
      <c r="D1036" s="35"/>
    </row>
    <row r="1037" spans="2:4" x14ac:dyDescent="0.2">
      <c r="B1037" s="35"/>
      <c r="C1037" s="35"/>
      <c r="D1037" s="35"/>
    </row>
    <row r="1038" spans="2:4" x14ac:dyDescent="0.2">
      <c r="B1038" s="35"/>
      <c r="C1038" s="35"/>
      <c r="D1038" s="35"/>
    </row>
    <row r="1039" spans="2:4" x14ac:dyDescent="0.2">
      <c r="B1039" s="35"/>
      <c r="C1039" s="35"/>
      <c r="D1039" s="35"/>
    </row>
    <row r="1040" spans="2:4" x14ac:dyDescent="0.2">
      <c r="B1040" s="35"/>
      <c r="C1040" s="35"/>
      <c r="D1040" s="35"/>
    </row>
    <row r="1041" spans="2:4" x14ac:dyDescent="0.2">
      <c r="B1041" s="35"/>
      <c r="C1041" s="35"/>
      <c r="D1041" s="35"/>
    </row>
    <row r="1042" spans="2:4" x14ac:dyDescent="0.2">
      <c r="B1042" s="35"/>
      <c r="C1042" s="35"/>
      <c r="D1042" s="35"/>
    </row>
    <row r="1043" spans="2:4" x14ac:dyDescent="0.2">
      <c r="B1043" s="35"/>
      <c r="C1043" s="35"/>
      <c r="D1043" s="35"/>
    </row>
    <row r="1044" spans="2:4" x14ac:dyDescent="0.2">
      <c r="B1044" s="35"/>
      <c r="C1044" s="35"/>
      <c r="D1044" s="35"/>
    </row>
    <row r="1045" spans="2:4" x14ac:dyDescent="0.2">
      <c r="B1045" s="35"/>
      <c r="C1045" s="35"/>
      <c r="D1045" s="35"/>
    </row>
    <row r="1046" spans="2:4" x14ac:dyDescent="0.2">
      <c r="B1046" s="35"/>
      <c r="C1046" s="35"/>
      <c r="D1046" s="35"/>
    </row>
    <row r="1047" spans="2:4" x14ac:dyDescent="0.2">
      <c r="B1047" s="35"/>
      <c r="C1047" s="35"/>
      <c r="D1047" s="35"/>
    </row>
    <row r="1048" spans="2:4" x14ac:dyDescent="0.2">
      <c r="B1048" s="35"/>
      <c r="C1048" s="35"/>
      <c r="D1048" s="35"/>
    </row>
    <row r="1049" spans="2:4" x14ac:dyDescent="0.2">
      <c r="B1049" s="35"/>
      <c r="C1049" s="35"/>
      <c r="D1049" s="35"/>
    </row>
    <row r="1050" spans="2:4" x14ac:dyDescent="0.2">
      <c r="B1050" s="35"/>
      <c r="C1050" s="35"/>
      <c r="D1050" s="35"/>
    </row>
    <row r="1051" spans="2:4" x14ac:dyDescent="0.2">
      <c r="B1051" s="35"/>
      <c r="C1051" s="35"/>
      <c r="D1051" s="35"/>
    </row>
    <row r="1052" spans="2:4" x14ac:dyDescent="0.2">
      <c r="B1052" s="35"/>
      <c r="C1052" s="35"/>
      <c r="D1052" s="35"/>
    </row>
    <row r="1053" spans="2:4" x14ac:dyDescent="0.2">
      <c r="B1053" s="35"/>
      <c r="C1053" s="35"/>
      <c r="D1053" s="35"/>
    </row>
    <row r="1054" spans="2:4" x14ac:dyDescent="0.2">
      <c r="B1054" s="35"/>
      <c r="C1054" s="35"/>
      <c r="D1054" s="35"/>
    </row>
    <row r="1055" spans="2:4" x14ac:dyDescent="0.2">
      <c r="B1055" s="35"/>
      <c r="C1055" s="35"/>
      <c r="D1055" s="35"/>
    </row>
    <row r="1056" spans="2:4" x14ac:dyDescent="0.2">
      <c r="B1056" s="35"/>
      <c r="C1056" s="35"/>
      <c r="D1056" s="35"/>
    </row>
    <row r="1057" spans="2:4" x14ac:dyDescent="0.2">
      <c r="B1057" s="35"/>
      <c r="C1057" s="35"/>
      <c r="D1057" s="35"/>
    </row>
    <row r="1058" spans="2:4" x14ac:dyDescent="0.2">
      <c r="B1058" s="35"/>
      <c r="C1058" s="35"/>
      <c r="D1058" s="35"/>
    </row>
    <row r="1059" spans="2:4" x14ac:dyDescent="0.2">
      <c r="B1059" s="35"/>
      <c r="C1059" s="35"/>
      <c r="D1059" s="35"/>
    </row>
    <row r="1060" spans="2:4" x14ac:dyDescent="0.2">
      <c r="B1060" s="35"/>
      <c r="C1060" s="35"/>
      <c r="D1060" s="35"/>
    </row>
    <row r="1061" spans="2:4" x14ac:dyDescent="0.2">
      <c r="B1061" s="35"/>
      <c r="C1061" s="35"/>
      <c r="D1061" s="35"/>
    </row>
    <row r="1062" spans="2:4" x14ac:dyDescent="0.2">
      <c r="B1062" s="35"/>
      <c r="C1062" s="35"/>
      <c r="D1062" s="35"/>
    </row>
    <row r="1063" spans="2:4" x14ac:dyDescent="0.2">
      <c r="B1063" s="35"/>
      <c r="C1063" s="35"/>
      <c r="D1063" s="35"/>
    </row>
    <row r="1064" spans="2:4" x14ac:dyDescent="0.2">
      <c r="B1064" s="35"/>
      <c r="C1064" s="35"/>
      <c r="D1064" s="35"/>
    </row>
    <row r="1065" spans="2:4" x14ac:dyDescent="0.2">
      <c r="B1065" s="35"/>
      <c r="C1065" s="35"/>
      <c r="D1065" s="35"/>
    </row>
    <row r="1066" spans="2:4" x14ac:dyDescent="0.2">
      <c r="B1066" s="35"/>
      <c r="C1066" s="35"/>
      <c r="D1066" s="35"/>
    </row>
    <row r="1067" spans="2:4" x14ac:dyDescent="0.2">
      <c r="B1067" s="35"/>
      <c r="C1067" s="35"/>
      <c r="D1067" s="35"/>
    </row>
    <row r="1068" spans="2:4" x14ac:dyDescent="0.2">
      <c r="B1068" s="35"/>
      <c r="C1068" s="35"/>
      <c r="D1068" s="35"/>
    </row>
    <row r="1069" spans="2:4" x14ac:dyDescent="0.2">
      <c r="B1069" s="35"/>
      <c r="C1069" s="35"/>
      <c r="D1069" s="35"/>
    </row>
    <row r="1070" spans="2:4" x14ac:dyDescent="0.2">
      <c r="B1070" s="35"/>
      <c r="C1070" s="35"/>
      <c r="D1070" s="35"/>
    </row>
    <row r="1071" spans="2:4" x14ac:dyDescent="0.2">
      <c r="B1071" s="35"/>
      <c r="C1071" s="35"/>
      <c r="D1071" s="35"/>
    </row>
    <row r="1072" spans="2:4" x14ac:dyDescent="0.2">
      <c r="B1072" s="35"/>
      <c r="C1072" s="35"/>
      <c r="D1072" s="35"/>
    </row>
    <row r="1073" spans="2:4" x14ac:dyDescent="0.2">
      <c r="B1073" s="35"/>
      <c r="C1073" s="35"/>
      <c r="D1073" s="35"/>
    </row>
    <row r="1074" spans="2:4" x14ac:dyDescent="0.2">
      <c r="B1074" s="35"/>
      <c r="C1074" s="35"/>
      <c r="D1074" s="35"/>
    </row>
    <row r="1075" spans="2:4" x14ac:dyDescent="0.2">
      <c r="B1075" s="35"/>
      <c r="C1075" s="35"/>
      <c r="D1075" s="35"/>
    </row>
    <row r="1076" spans="2:4" x14ac:dyDescent="0.2">
      <c r="B1076" s="35"/>
      <c r="C1076" s="35"/>
      <c r="D1076" s="35"/>
    </row>
    <row r="1077" spans="2:4" x14ac:dyDescent="0.2">
      <c r="B1077" s="35"/>
      <c r="C1077" s="35"/>
      <c r="D1077" s="35"/>
    </row>
    <row r="1078" spans="2:4" x14ac:dyDescent="0.2">
      <c r="B1078" s="35"/>
      <c r="C1078" s="35"/>
      <c r="D1078" s="35"/>
    </row>
    <row r="1079" spans="2:4" x14ac:dyDescent="0.2">
      <c r="B1079" s="35"/>
      <c r="C1079" s="35"/>
      <c r="D1079" s="35"/>
    </row>
    <row r="1080" spans="2:4" x14ac:dyDescent="0.2">
      <c r="B1080" s="35"/>
      <c r="C1080" s="35"/>
      <c r="D1080" s="35"/>
    </row>
    <row r="1081" spans="2:4" x14ac:dyDescent="0.2">
      <c r="B1081" s="35"/>
      <c r="C1081" s="35"/>
      <c r="D1081" s="35"/>
    </row>
    <row r="1082" spans="2:4" x14ac:dyDescent="0.2">
      <c r="B1082" s="35"/>
      <c r="C1082" s="35"/>
      <c r="D1082" s="35"/>
    </row>
    <row r="1083" spans="2:4" x14ac:dyDescent="0.2">
      <c r="B1083" s="35"/>
      <c r="C1083" s="35"/>
      <c r="D1083" s="35"/>
    </row>
    <row r="1084" spans="2:4" x14ac:dyDescent="0.2">
      <c r="B1084" s="35"/>
      <c r="C1084" s="35"/>
      <c r="D1084" s="35"/>
    </row>
    <row r="1085" spans="2:4" x14ac:dyDescent="0.2">
      <c r="B1085" s="35"/>
      <c r="C1085" s="35"/>
      <c r="D1085" s="35"/>
    </row>
    <row r="1086" spans="2:4" x14ac:dyDescent="0.2">
      <c r="B1086" s="35"/>
      <c r="C1086" s="35"/>
      <c r="D1086" s="35"/>
    </row>
    <row r="1087" spans="2:4" x14ac:dyDescent="0.2">
      <c r="B1087" s="35"/>
      <c r="C1087" s="35"/>
      <c r="D1087" s="35"/>
    </row>
    <row r="1088" spans="2:4" x14ac:dyDescent="0.2">
      <c r="B1088" s="35"/>
      <c r="C1088" s="35"/>
      <c r="D1088" s="35"/>
    </row>
    <row r="1089" spans="2:4" x14ac:dyDescent="0.2">
      <c r="B1089" s="35"/>
      <c r="C1089" s="35"/>
      <c r="D1089" s="35"/>
    </row>
    <row r="1090" spans="2:4" x14ac:dyDescent="0.2">
      <c r="B1090" s="35"/>
      <c r="C1090" s="35"/>
      <c r="D1090" s="35"/>
    </row>
    <row r="1091" spans="2:4" x14ac:dyDescent="0.2">
      <c r="B1091" s="35"/>
      <c r="C1091" s="35"/>
      <c r="D1091" s="35"/>
    </row>
    <row r="1092" spans="2:4" x14ac:dyDescent="0.2">
      <c r="B1092" s="35"/>
      <c r="C1092" s="35"/>
      <c r="D1092" s="35"/>
    </row>
    <row r="1093" spans="2:4" x14ac:dyDescent="0.2">
      <c r="B1093" s="35"/>
      <c r="C1093" s="35"/>
      <c r="D1093" s="35"/>
    </row>
    <row r="1094" spans="2:4" x14ac:dyDescent="0.2">
      <c r="B1094" s="35"/>
      <c r="C1094" s="35"/>
      <c r="D1094" s="35"/>
    </row>
    <row r="1095" spans="2:4" x14ac:dyDescent="0.2">
      <c r="B1095" s="35"/>
      <c r="C1095" s="35"/>
      <c r="D1095" s="35"/>
    </row>
    <row r="1096" spans="2:4" x14ac:dyDescent="0.2">
      <c r="B1096" s="35"/>
      <c r="C1096" s="35"/>
      <c r="D1096" s="35"/>
    </row>
    <row r="1097" spans="2:4" x14ac:dyDescent="0.2">
      <c r="B1097" s="35"/>
      <c r="C1097" s="35"/>
      <c r="D1097" s="35"/>
    </row>
    <row r="1098" spans="2:4" x14ac:dyDescent="0.2">
      <c r="B1098" s="35"/>
      <c r="C1098" s="35"/>
      <c r="D1098" s="35"/>
    </row>
    <row r="1099" spans="2:4" x14ac:dyDescent="0.2">
      <c r="B1099" s="35"/>
      <c r="C1099" s="35"/>
      <c r="D1099" s="35"/>
    </row>
    <row r="1100" spans="2:4" x14ac:dyDescent="0.2">
      <c r="B1100" s="35"/>
      <c r="C1100" s="35"/>
      <c r="D1100" s="35"/>
    </row>
    <row r="1101" spans="2:4" x14ac:dyDescent="0.2">
      <c r="B1101" s="35"/>
      <c r="C1101" s="35"/>
      <c r="D1101" s="35"/>
    </row>
    <row r="1102" spans="2:4" x14ac:dyDescent="0.2">
      <c r="B1102" s="35"/>
      <c r="C1102" s="35"/>
      <c r="D1102" s="35"/>
    </row>
    <row r="1103" spans="2:4" x14ac:dyDescent="0.2">
      <c r="B1103" s="35"/>
      <c r="C1103" s="35"/>
      <c r="D1103" s="35"/>
    </row>
    <row r="1104" spans="2:4" x14ac:dyDescent="0.2">
      <c r="B1104" s="35"/>
      <c r="C1104" s="35"/>
      <c r="D1104" s="35"/>
    </row>
    <row r="1105" spans="2:4" x14ac:dyDescent="0.2">
      <c r="B1105" s="35"/>
      <c r="C1105" s="35"/>
      <c r="D1105" s="35"/>
    </row>
    <row r="1106" spans="2:4" x14ac:dyDescent="0.2">
      <c r="B1106" s="35"/>
      <c r="C1106" s="35"/>
      <c r="D1106" s="35"/>
    </row>
    <row r="1107" spans="2:4" x14ac:dyDescent="0.2">
      <c r="B1107" s="35"/>
      <c r="C1107" s="35"/>
      <c r="D1107" s="35"/>
    </row>
    <row r="1108" spans="2:4" x14ac:dyDescent="0.2">
      <c r="B1108" s="35"/>
      <c r="C1108" s="35"/>
      <c r="D1108" s="35"/>
    </row>
    <row r="1109" spans="2:4" x14ac:dyDescent="0.2">
      <c r="B1109" s="35"/>
      <c r="C1109" s="35"/>
      <c r="D1109" s="35"/>
    </row>
    <row r="1110" spans="2:4" x14ac:dyDescent="0.2">
      <c r="B1110" s="35"/>
      <c r="C1110" s="35"/>
      <c r="D1110" s="35"/>
    </row>
    <row r="1111" spans="2:4" x14ac:dyDescent="0.2">
      <c r="B1111" s="35"/>
      <c r="C1111" s="35"/>
      <c r="D1111" s="35"/>
    </row>
    <row r="1112" spans="2:4" x14ac:dyDescent="0.2">
      <c r="B1112" s="35"/>
      <c r="C1112" s="35"/>
      <c r="D1112" s="35"/>
    </row>
    <row r="1113" spans="2:4" x14ac:dyDescent="0.2">
      <c r="B1113" s="35"/>
      <c r="C1113" s="35"/>
      <c r="D1113" s="35"/>
    </row>
    <row r="1114" spans="2:4" x14ac:dyDescent="0.2">
      <c r="B1114" s="35"/>
      <c r="C1114" s="35"/>
      <c r="D1114" s="35"/>
    </row>
    <row r="1115" spans="2:4" x14ac:dyDescent="0.2">
      <c r="B1115" s="35"/>
      <c r="C1115" s="35"/>
      <c r="D1115" s="35"/>
    </row>
    <row r="1116" spans="2:4" x14ac:dyDescent="0.2">
      <c r="B1116" s="35"/>
      <c r="C1116" s="35"/>
      <c r="D1116" s="35"/>
    </row>
    <row r="1117" spans="2:4" x14ac:dyDescent="0.2">
      <c r="B1117" s="35"/>
      <c r="C1117" s="35"/>
      <c r="D1117" s="35"/>
    </row>
    <row r="1118" spans="2:4" x14ac:dyDescent="0.2">
      <c r="B1118" s="35"/>
      <c r="C1118" s="35"/>
      <c r="D1118" s="35"/>
    </row>
    <row r="1119" spans="2:4" x14ac:dyDescent="0.2">
      <c r="B1119" s="35"/>
      <c r="C1119" s="35"/>
      <c r="D1119" s="35"/>
    </row>
    <row r="1120" spans="2:4" x14ac:dyDescent="0.2">
      <c r="B1120" s="35"/>
      <c r="C1120" s="35"/>
      <c r="D1120" s="35"/>
    </row>
    <row r="1121" spans="2:4" x14ac:dyDescent="0.2">
      <c r="B1121" s="35"/>
      <c r="C1121" s="35"/>
      <c r="D1121" s="35"/>
    </row>
    <row r="1122" spans="2:4" x14ac:dyDescent="0.2">
      <c r="B1122" s="35"/>
      <c r="C1122" s="35"/>
      <c r="D1122" s="35"/>
    </row>
    <row r="1123" spans="2:4" x14ac:dyDescent="0.2">
      <c r="B1123" s="35"/>
      <c r="C1123" s="35"/>
      <c r="D1123" s="35"/>
    </row>
    <row r="1124" spans="2:4" x14ac:dyDescent="0.2">
      <c r="B1124" s="35"/>
      <c r="C1124" s="35"/>
      <c r="D1124" s="35"/>
    </row>
    <row r="1125" spans="2:4" x14ac:dyDescent="0.2">
      <c r="B1125" s="35"/>
      <c r="C1125" s="35"/>
      <c r="D1125" s="35"/>
    </row>
    <row r="1126" spans="2:4" x14ac:dyDescent="0.2">
      <c r="B1126" s="35"/>
      <c r="C1126" s="35"/>
      <c r="D1126" s="35"/>
    </row>
    <row r="1127" spans="2:4" x14ac:dyDescent="0.2">
      <c r="B1127" s="35"/>
      <c r="C1127" s="35"/>
      <c r="D1127" s="35"/>
    </row>
    <row r="1128" spans="2:4" x14ac:dyDescent="0.2">
      <c r="B1128" s="35"/>
      <c r="C1128" s="35"/>
      <c r="D1128" s="35"/>
    </row>
    <row r="1129" spans="2:4" x14ac:dyDescent="0.2">
      <c r="B1129" s="35"/>
      <c r="C1129" s="35"/>
      <c r="D1129" s="35"/>
    </row>
    <row r="1130" spans="2:4" x14ac:dyDescent="0.2">
      <c r="B1130" s="35"/>
      <c r="C1130" s="35"/>
      <c r="D1130" s="35"/>
    </row>
    <row r="1131" spans="2:4" x14ac:dyDescent="0.2">
      <c r="B1131" s="35"/>
      <c r="C1131" s="35"/>
      <c r="D1131" s="35"/>
    </row>
    <row r="1132" spans="2:4" x14ac:dyDescent="0.2">
      <c r="B1132" s="35"/>
      <c r="C1132" s="35"/>
      <c r="D1132" s="35"/>
    </row>
    <row r="1133" spans="2:4" x14ac:dyDescent="0.2">
      <c r="B1133" s="35"/>
      <c r="C1133" s="35"/>
      <c r="D1133" s="35"/>
    </row>
    <row r="1134" spans="2:4" x14ac:dyDescent="0.2">
      <c r="B1134" s="35"/>
      <c r="C1134" s="35"/>
      <c r="D1134" s="35"/>
    </row>
    <row r="1135" spans="2:4" x14ac:dyDescent="0.2">
      <c r="B1135" s="35"/>
      <c r="C1135" s="35"/>
      <c r="D1135" s="35"/>
    </row>
    <row r="1136" spans="2:4" x14ac:dyDescent="0.2">
      <c r="B1136" s="35"/>
      <c r="C1136" s="35"/>
      <c r="D1136" s="35"/>
    </row>
    <row r="1137" spans="2:4" x14ac:dyDescent="0.2">
      <c r="B1137" s="35"/>
      <c r="C1137" s="35"/>
      <c r="D1137" s="35"/>
    </row>
    <row r="1138" spans="2:4" x14ac:dyDescent="0.2">
      <c r="B1138" s="35"/>
      <c r="C1138" s="35"/>
      <c r="D1138" s="35"/>
    </row>
    <row r="1139" spans="2:4" x14ac:dyDescent="0.2">
      <c r="B1139" s="35"/>
      <c r="C1139" s="35"/>
      <c r="D1139" s="35"/>
    </row>
    <row r="1140" spans="2:4" x14ac:dyDescent="0.2">
      <c r="B1140" s="35"/>
      <c r="C1140" s="35"/>
      <c r="D1140" s="35"/>
    </row>
    <row r="1141" spans="2:4" x14ac:dyDescent="0.2">
      <c r="B1141" s="35"/>
      <c r="C1141" s="35"/>
      <c r="D1141" s="35"/>
    </row>
    <row r="1142" spans="2:4" x14ac:dyDescent="0.2">
      <c r="B1142" s="35"/>
      <c r="C1142" s="35"/>
      <c r="D1142" s="35"/>
    </row>
    <row r="1143" spans="2:4" x14ac:dyDescent="0.2">
      <c r="B1143" s="35"/>
      <c r="C1143" s="35"/>
      <c r="D1143" s="35"/>
    </row>
    <row r="1144" spans="2:4" x14ac:dyDescent="0.2">
      <c r="B1144" s="35"/>
      <c r="C1144" s="35"/>
      <c r="D1144" s="35"/>
    </row>
    <row r="1145" spans="2:4" x14ac:dyDescent="0.2">
      <c r="B1145" s="35"/>
      <c r="C1145" s="35"/>
      <c r="D1145" s="35"/>
    </row>
    <row r="1146" spans="2:4" x14ac:dyDescent="0.2">
      <c r="B1146" s="35"/>
      <c r="C1146" s="35"/>
      <c r="D1146" s="35"/>
    </row>
    <row r="1147" spans="2:4" x14ac:dyDescent="0.2">
      <c r="B1147" s="35"/>
      <c r="C1147" s="35"/>
      <c r="D1147" s="35"/>
    </row>
    <row r="1148" spans="2:4" x14ac:dyDescent="0.2">
      <c r="B1148" s="35"/>
      <c r="C1148" s="35"/>
      <c r="D1148" s="35"/>
    </row>
    <row r="1149" spans="2:4" x14ac:dyDescent="0.2">
      <c r="B1149" s="35"/>
      <c r="C1149" s="35"/>
      <c r="D1149" s="35"/>
    </row>
    <row r="1150" spans="2:4" x14ac:dyDescent="0.2">
      <c r="B1150" s="35"/>
      <c r="C1150" s="35"/>
      <c r="D1150" s="35"/>
    </row>
    <row r="1151" spans="2:4" x14ac:dyDescent="0.2">
      <c r="B1151" s="35"/>
      <c r="C1151" s="35"/>
      <c r="D1151" s="35"/>
    </row>
    <row r="1152" spans="2:4" x14ac:dyDescent="0.2">
      <c r="B1152" s="35"/>
      <c r="C1152" s="35"/>
      <c r="D1152" s="35"/>
    </row>
    <row r="1153" spans="2:4" x14ac:dyDescent="0.2">
      <c r="B1153" s="35"/>
      <c r="C1153" s="35"/>
      <c r="D1153" s="35"/>
    </row>
    <row r="1154" spans="2:4" x14ac:dyDescent="0.2">
      <c r="B1154" s="35"/>
      <c r="C1154" s="35"/>
      <c r="D1154" s="35"/>
    </row>
    <row r="1155" spans="2:4" x14ac:dyDescent="0.2">
      <c r="B1155" s="35"/>
      <c r="C1155" s="35"/>
      <c r="D1155" s="35"/>
    </row>
    <row r="1156" spans="2:4" x14ac:dyDescent="0.2">
      <c r="B1156" s="35"/>
      <c r="C1156" s="35"/>
      <c r="D1156" s="35"/>
    </row>
    <row r="1157" spans="2:4" x14ac:dyDescent="0.2">
      <c r="B1157" s="35"/>
      <c r="C1157" s="35"/>
      <c r="D1157" s="35"/>
    </row>
    <row r="1158" spans="2:4" x14ac:dyDescent="0.2">
      <c r="B1158" s="35"/>
      <c r="C1158" s="35"/>
      <c r="D1158" s="35"/>
    </row>
    <row r="1159" spans="2:4" x14ac:dyDescent="0.2">
      <c r="B1159" s="35"/>
      <c r="C1159" s="35"/>
      <c r="D1159" s="35"/>
    </row>
    <row r="1160" spans="2:4" x14ac:dyDescent="0.2">
      <c r="B1160" s="35"/>
      <c r="C1160" s="35"/>
      <c r="D1160" s="35"/>
    </row>
    <row r="1161" spans="2:4" x14ac:dyDescent="0.2">
      <c r="B1161" s="35"/>
      <c r="C1161" s="35"/>
      <c r="D1161" s="35"/>
    </row>
    <row r="1162" spans="2:4" x14ac:dyDescent="0.2">
      <c r="B1162" s="35"/>
      <c r="C1162" s="35"/>
      <c r="D1162" s="35"/>
    </row>
    <row r="1163" spans="2:4" x14ac:dyDescent="0.2">
      <c r="B1163" s="35"/>
      <c r="C1163" s="35"/>
      <c r="D1163" s="35"/>
    </row>
    <row r="1164" spans="2:4" x14ac:dyDescent="0.2">
      <c r="B1164" s="35"/>
      <c r="C1164" s="35"/>
      <c r="D1164" s="35"/>
    </row>
    <row r="1165" spans="2:4" x14ac:dyDescent="0.2">
      <c r="B1165" s="35"/>
      <c r="C1165" s="35"/>
      <c r="D1165" s="35"/>
    </row>
    <row r="1166" spans="2:4" x14ac:dyDescent="0.2">
      <c r="B1166" s="35"/>
      <c r="C1166" s="35"/>
      <c r="D1166" s="35"/>
    </row>
    <row r="1167" spans="2:4" x14ac:dyDescent="0.2">
      <c r="B1167" s="35"/>
      <c r="C1167" s="35"/>
      <c r="D1167" s="35"/>
    </row>
    <row r="1168" spans="2:4" x14ac:dyDescent="0.2">
      <c r="B1168" s="35"/>
      <c r="C1168" s="35"/>
      <c r="D1168" s="35"/>
    </row>
    <row r="1169" spans="2:4" x14ac:dyDescent="0.2">
      <c r="B1169" s="35"/>
      <c r="C1169" s="35"/>
      <c r="D1169" s="35"/>
    </row>
    <row r="1170" spans="2:4" x14ac:dyDescent="0.2">
      <c r="B1170" s="35"/>
      <c r="C1170" s="35"/>
      <c r="D1170" s="35"/>
    </row>
    <row r="1171" spans="2:4" x14ac:dyDescent="0.2">
      <c r="B1171" s="35"/>
      <c r="C1171" s="35"/>
      <c r="D1171" s="35"/>
    </row>
    <row r="1172" spans="2:4" x14ac:dyDescent="0.2">
      <c r="B1172" s="35"/>
      <c r="C1172" s="35"/>
      <c r="D1172" s="35"/>
    </row>
    <row r="1173" spans="2:4" x14ac:dyDescent="0.2">
      <c r="B1173" s="35"/>
      <c r="C1173" s="35"/>
      <c r="D1173" s="35"/>
    </row>
    <row r="1174" spans="2:4" x14ac:dyDescent="0.2">
      <c r="B1174" s="35"/>
      <c r="C1174" s="35"/>
      <c r="D1174" s="35"/>
    </row>
    <row r="1175" spans="2:4" x14ac:dyDescent="0.2">
      <c r="B1175" s="35"/>
      <c r="C1175" s="35"/>
      <c r="D1175" s="35"/>
    </row>
    <row r="1176" spans="2:4" x14ac:dyDescent="0.2">
      <c r="B1176" s="35"/>
      <c r="C1176" s="35"/>
      <c r="D1176" s="35"/>
    </row>
    <row r="1177" spans="2:4" x14ac:dyDescent="0.2">
      <c r="B1177" s="35"/>
      <c r="C1177" s="35"/>
      <c r="D1177" s="35"/>
    </row>
    <row r="1178" spans="2:4" x14ac:dyDescent="0.2">
      <c r="B1178" s="35"/>
      <c r="C1178" s="35"/>
      <c r="D1178" s="35"/>
    </row>
    <row r="1179" spans="2:4" x14ac:dyDescent="0.2">
      <c r="B1179" s="35"/>
      <c r="C1179" s="35"/>
      <c r="D1179" s="35"/>
    </row>
    <row r="1180" spans="2:4" x14ac:dyDescent="0.2">
      <c r="B1180" s="35"/>
      <c r="C1180" s="35"/>
      <c r="D1180" s="35"/>
    </row>
    <row r="1181" spans="2:4" x14ac:dyDescent="0.2">
      <c r="B1181" s="35"/>
      <c r="C1181" s="35"/>
      <c r="D1181" s="35"/>
    </row>
    <row r="1182" spans="2:4" x14ac:dyDescent="0.2">
      <c r="B1182" s="35"/>
      <c r="C1182" s="35"/>
      <c r="D1182" s="35"/>
    </row>
    <row r="1183" spans="2:4" x14ac:dyDescent="0.2">
      <c r="B1183" s="35"/>
      <c r="C1183" s="35"/>
      <c r="D1183" s="35"/>
    </row>
    <row r="1184" spans="2:4" x14ac:dyDescent="0.2">
      <c r="B1184" s="35"/>
      <c r="C1184" s="35"/>
      <c r="D1184" s="35"/>
    </row>
    <row r="1185" spans="2:4" x14ac:dyDescent="0.2">
      <c r="B1185" s="35"/>
      <c r="C1185" s="35"/>
      <c r="D1185" s="35"/>
    </row>
    <row r="1186" spans="2:4" x14ac:dyDescent="0.2">
      <c r="B1186" s="35"/>
      <c r="C1186" s="35"/>
      <c r="D1186" s="35"/>
    </row>
    <row r="1187" spans="2:4" x14ac:dyDescent="0.2">
      <c r="B1187" s="35"/>
      <c r="C1187" s="35"/>
      <c r="D1187" s="35"/>
    </row>
    <row r="1188" spans="2:4" x14ac:dyDescent="0.2">
      <c r="B1188" s="35"/>
      <c r="C1188" s="35"/>
      <c r="D1188" s="35"/>
    </row>
    <row r="1189" spans="2:4" x14ac:dyDescent="0.2">
      <c r="B1189" s="35"/>
      <c r="C1189" s="35"/>
      <c r="D1189" s="35"/>
    </row>
    <row r="1190" spans="2:4" x14ac:dyDescent="0.2">
      <c r="B1190" s="35"/>
      <c r="C1190" s="35"/>
      <c r="D1190" s="35"/>
    </row>
    <row r="1191" spans="2:4" x14ac:dyDescent="0.2">
      <c r="B1191" s="35"/>
      <c r="C1191" s="35"/>
      <c r="D1191" s="35"/>
    </row>
    <row r="1192" spans="2:4" x14ac:dyDescent="0.2">
      <c r="B1192" s="35"/>
      <c r="C1192" s="35"/>
      <c r="D1192" s="35"/>
    </row>
    <row r="1193" spans="2:4" x14ac:dyDescent="0.2">
      <c r="B1193" s="35"/>
      <c r="C1193" s="35"/>
      <c r="D1193" s="35"/>
    </row>
    <row r="1194" spans="2:4" x14ac:dyDescent="0.2">
      <c r="B1194" s="35"/>
      <c r="C1194" s="35"/>
      <c r="D1194" s="35"/>
    </row>
    <row r="1195" spans="2:4" x14ac:dyDescent="0.2">
      <c r="B1195" s="35"/>
      <c r="C1195" s="35"/>
      <c r="D1195" s="35"/>
    </row>
    <row r="1196" spans="2:4" x14ac:dyDescent="0.2">
      <c r="B1196" s="35"/>
      <c r="C1196" s="35"/>
      <c r="D1196" s="35"/>
    </row>
    <row r="1197" spans="2:4" x14ac:dyDescent="0.2">
      <c r="B1197" s="35"/>
      <c r="C1197" s="35"/>
      <c r="D1197" s="35"/>
    </row>
    <row r="1198" spans="2:4" x14ac:dyDescent="0.2">
      <c r="B1198" s="35"/>
      <c r="C1198" s="35"/>
      <c r="D1198" s="35"/>
    </row>
    <row r="1199" spans="2:4" x14ac:dyDescent="0.2">
      <c r="B1199" s="35"/>
      <c r="C1199" s="35"/>
      <c r="D1199" s="35"/>
    </row>
    <row r="1200" spans="2:4" x14ac:dyDescent="0.2">
      <c r="B1200" s="35"/>
      <c r="C1200" s="35"/>
      <c r="D1200" s="35"/>
    </row>
    <row r="1201" spans="2:4" x14ac:dyDescent="0.2">
      <c r="B1201" s="35"/>
      <c r="C1201" s="35"/>
      <c r="D1201" s="35"/>
    </row>
    <row r="1202" spans="2:4" x14ac:dyDescent="0.2">
      <c r="B1202" s="35"/>
      <c r="C1202" s="35"/>
      <c r="D1202" s="35"/>
    </row>
    <row r="1203" spans="2:4" x14ac:dyDescent="0.2">
      <c r="B1203" s="35"/>
      <c r="C1203" s="35"/>
      <c r="D1203" s="35"/>
    </row>
    <row r="1204" spans="2:4" x14ac:dyDescent="0.2">
      <c r="B1204" s="35"/>
      <c r="C1204" s="35"/>
      <c r="D1204" s="35"/>
    </row>
    <row r="1205" spans="2:4" x14ac:dyDescent="0.2">
      <c r="B1205" s="35"/>
      <c r="C1205" s="35"/>
      <c r="D1205" s="35"/>
    </row>
    <row r="1206" spans="2:4" x14ac:dyDescent="0.2">
      <c r="B1206" s="35"/>
      <c r="C1206" s="35"/>
      <c r="D1206" s="35"/>
    </row>
    <row r="1207" spans="2:4" x14ac:dyDescent="0.2">
      <c r="B1207" s="35"/>
      <c r="C1207" s="35"/>
      <c r="D1207" s="35"/>
    </row>
    <row r="1208" spans="2:4" x14ac:dyDescent="0.2">
      <c r="B1208" s="35"/>
      <c r="C1208" s="35"/>
      <c r="D1208" s="35"/>
    </row>
    <row r="1209" spans="2:4" x14ac:dyDescent="0.2">
      <c r="B1209" s="35"/>
      <c r="C1209" s="35"/>
      <c r="D1209" s="35"/>
    </row>
    <row r="1210" spans="2:4" x14ac:dyDescent="0.2">
      <c r="B1210" s="35"/>
      <c r="C1210" s="35"/>
      <c r="D1210" s="35"/>
    </row>
    <row r="1211" spans="2:4" x14ac:dyDescent="0.2">
      <c r="B1211" s="35"/>
      <c r="C1211" s="35"/>
      <c r="D1211" s="35"/>
    </row>
    <row r="1212" spans="2:4" x14ac:dyDescent="0.2">
      <c r="B1212" s="35"/>
      <c r="C1212" s="35"/>
      <c r="D1212" s="35"/>
    </row>
    <row r="1213" spans="2:4" x14ac:dyDescent="0.2">
      <c r="B1213" s="35"/>
      <c r="C1213" s="35"/>
      <c r="D1213" s="35"/>
    </row>
    <row r="1214" spans="2:4" x14ac:dyDescent="0.2">
      <c r="B1214" s="35"/>
      <c r="C1214" s="35"/>
      <c r="D1214" s="35"/>
    </row>
    <row r="1215" spans="2:4" x14ac:dyDescent="0.2">
      <c r="B1215" s="35"/>
      <c r="C1215" s="35"/>
      <c r="D1215" s="35"/>
    </row>
    <row r="1216" spans="2:4" x14ac:dyDescent="0.2">
      <c r="B1216" s="35"/>
      <c r="C1216" s="35"/>
      <c r="D1216" s="35"/>
    </row>
    <row r="1217" spans="2:4" x14ac:dyDescent="0.2">
      <c r="B1217" s="35"/>
      <c r="C1217" s="35"/>
      <c r="D1217" s="35"/>
    </row>
    <row r="1218" spans="2:4" x14ac:dyDescent="0.2">
      <c r="B1218" s="35"/>
      <c r="C1218" s="35"/>
      <c r="D1218" s="35"/>
    </row>
    <row r="1219" spans="2:4" x14ac:dyDescent="0.2">
      <c r="B1219" s="35"/>
      <c r="C1219" s="35"/>
      <c r="D1219" s="35"/>
    </row>
    <row r="1220" spans="2:4" x14ac:dyDescent="0.2">
      <c r="B1220" s="35"/>
      <c r="C1220" s="35"/>
      <c r="D1220" s="35"/>
    </row>
    <row r="1221" spans="2:4" x14ac:dyDescent="0.2">
      <c r="B1221" s="35"/>
      <c r="C1221" s="35"/>
      <c r="D1221" s="35"/>
    </row>
    <row r="1222" spans="2:4" x14ac:dyDescent="0.2">
      <c r="B1222" s="35"/>
      <c r="C1222" s="35"/>
      <c r="D1222" s="35"/>
    </row>
    <row r="1223" spans="2:4" x14ac:dyDescent="0.2">
      <c r="B1223" s="35"/>
      <c r="C1223" s="35"/>
      <c r="D1223" s="35"/>
    </row>
    <row r="1224" spans="2:4" x14ac:dyDescent="0.2">
      <c r="B1224" s="35"/>
      <c r="C1224" s="35"/>
      <c r="D1224" s="35"/>
    </row>
    <row r="1225" spans="2:4" x14ac:dyDescent="0.2">
      <c r="B1225" s="35"/>
      <c r="C1225" s="35"/>
      <c r="D1225" s="35"/>
    </row>
    <row r="1226" spans="2:4" x14ac:dyDescent="0.2">
      <c r="B1226" s="35"/>
      <c r="C1226" s="35"/>
      <c r="D1226" s="35"/>
    </row>
    <row r="1227" spans="2:4" x14ac:dyDescent="0.2">
      <c r="B1227" s="35"/>
      <c r="C1227" s="35"/>
      <c r="D1227" s="35"/>
    </row>
    <row r="1228" spans="2:4" x14ac:dyDescent="0.2">
      <c r="B1228" s="35"/>
      <c r="C1228" s="35"/>
      <c r="D1228" s="35"/>
    </row>
    <row r="1229" spans="2:4" x14ac:dyDescent="0.2">
      <c r="B1229" s="35"/>
      <c r="C1229" s="35"/>
      <c r="D1229" s="35"/>
    </row>
    <row r="1230" spans="2:4" x14ac:dyDescent="0.2">
      <c r="B1230" s="35"/>
      <c r="C1230" s="35"/>
      <c r="D1230" s="35"/>
    </row>
    <row r="1231" spans="2:4" x14ac:dyDescent="0.2">
      <c r="B1231" s="35"/>
      <c r="C1231" s="35"/>
      <c r="D1231" s="35"/>
    </row>
    <row r="1232" spans="2:4" x14ac:dyDescent="0.2">
      <c r="B1232" s="35"/>
      <c r="C1232" s="35"/>
      <c r="D1232" s="35"/>
    </row>
    <row r="1233" spans="2:4" x14ac:dyDescent="0.2">
      <c r="B1233" s="35"/>
      <c r="C1233" s="35"/>
      <c r="D1233" s="35"/>
    </row>
    <row r="1234" spans="2:4" x14ac:dyDescent="0.2">
      <c r="B1234" s="35"/>
      <c r="C1234" s="35"/>
      <c r="D1234" s="35"/>
    </row>
    <row r="1235" spans="2:4" x14ac:dyDescent="0.2">
      <c r="B1235" s="35"/>
      <c r="C1235" s="35"/>
      <c r="D1235" s="35"/>
    </row>
    <row r="1236" spans="2:4" x14ac:dyDescent="0.2">
      <c r="B1236" s="35"/>
      <c r="C1236" s="35"/>
      <c r="D1236" s="35"/>
    </row>
    <row r="1237" spans="2:4" x14ac:dyDescent="0.2">
      <c r="B1237" s="35"/>
      <c r="C1237" s="35"/>
      <c r="D1237" s="35"/>
    </row>
    <row r="1238" spans="2:4" x14ac:dyDescent="0.2">
      <c r="B1238" s="35"/>
      <c r="C1238" s="35"/>
      <c r="D1238" s="35"/>
    </row>
    <row r="1239" spans="2:4" x14ac:dyDescent="0.2">
      <c r="B1239" s="35"/>
      <c r="C1239" s="35"/>
      <c r="D1239" s="35"/>
    </row>
    <row r="1240" spans="2:4" x14ac:dyDescent="0.2">
      <c r="B1240" s="35"/>
      <c r="C1240" s="35"/>
      <c r="D1240" s="35"/>
    </row>
    <row r="1241" spans="2:4" x14ac:dyDescent="0.2">
      <c r="B1241" s="35"/>
      <c r="C1241" s="35"/>
      <c r="D1241" s="35"/>
    </row>
    <row r="1242" spans="2:4" x14ac:dyDescent="0.2">
      <c r="B1242" s="35"/>
      <c r="C1242" s="35"/>
      <c r="D1242" s="35"/>
    </row>
    <row r="1243" spans="2:4" x14ac:dyDescent="0.2">
      <c r="B1243" s="35"/>
      <c r="C1243" s="35"/>
      <c r="D1243" s="35"/>
    </row>
    <row r="1244" spans="2:4" x14ac:dyDescent="0.2">
      <c r="B1244" s="35"/>
      <c r="C1244" s="35"/>
      <c r="D1244" s="35"/>
    </row>
    <row r="1245" spans="2:4" x14ac:dyDescent="0.2">
      <c r="B1245" s="35"/>
      <c r="C1245" s="35"/>
      <c r="D1245" s="35"/>
    </row>
    <row r="1246" spans="2:4" x14ac:dyDescent="0.2">
      <c r="B1246" s="35"/>
      <c r="C1246" s="35"/>
      <c r="D1246" s="35"/>
    </row>
    <row r="1247" spans="2:4" x14ac:dyDescent="0.2">
      <c r="B1247" s="35"/>
      <c r="C1247" s="35"/>
      <c r="D1247" s="35"/>
    </row>
    <row r="1248" spans="2:4" x14ac:dyDescent="0.2">
      <c r="B1248" s="35"/>
      <c r="C1248" s="35"/>
      <c r="D1248" s="35"/>
    </row>
    <row r="1249" spans="2:4" x14ac:dyDescent="0.2">
      <c r="B1249" s="35"/>
      <c r="C1249" s="35"/>
      <c r="D1249" s="35"/>
    </row>
    <row r="1250" spans="2:4" x14ac:dyDescent="0.2">
      <c r="B1250" s="35"/>
      <c r="C1250" s="35"/>
      <c r="D1250" s="35"/>
    </row>
    <row r="1251" spans="2:4" x14ac:dyDescent="0.2">
      <c r="B1251" s="35"/>
      <c r="C1251" s="35"/>
      <c r="D1251" s="35"/>
    </row>
    <row r="1252" spans="2:4" x14ac:dyDescent="0.2">
      <c r="B1252" s="35"/>
      <c r="C1252" s="35"/>
      <c r="D1252" s="35"/>
    </row>
    <row r="1253" spans="2:4" x14ac:dyDescent="0.2">
      <c r="B1253" s="35"/>
      <c r="C1253" s="35"/>
      <c r="D1253" s="35"/>
    </row>
    <row r="1254" spans="2:4" x14ac:dyDescent="0.2">
      <c r="B1254" s="35"/>
      <c r="C1254" s="35"/>
      <c r="D1254" s="35"/>
    </row>
    <row r="1255" spans="2:4" x14ac:dyDescent="0.2">
      <c r="B1255" s="35"/>
      <c r="C1255" s="35"/>
      <c r="D1255" s="35"/>
    </row>
    <row r="1256" spans="2:4" x14ac:dyDescent="0.2">
      <c r="B1256" s="35"/>
      <c r="C1256" s="35"/>
      <c r="D1256" s="35"/>
    </row>
    <row r="1257" spans="2:4" x14ac:dyDescent="0.2">
      <c r="B1257" s="35"/>
      <c r="C1257" s="35"/>
      <c r="D1257" s="35"/>
    </row>
    <row r="1258" spans="2:4" x14ac:dyDescent="0.2">
      <c r="B1258" s="35"/>
      <c r="C1258" s="35"/>
      <c r="D1258" s="35"/>
    </row>
    <row r="1259" spans="2:4" x14ac:dyDescent="0.2">
      <c r="B1259" s="35"/>
      <c r="C1259" s="35"/>
      <c r="D1259" s="35"/>
    </row>
    <row r="1260" spans="2:4" x14ac:dyDescent="0.2">
      <c r="B1260" s="35"/>
      <c r="C1260" s="35"/>
      <c r="D1260" s="35"/>
    </row>
    <row r="1261" spans="2:4" x14ac:dyDescent="0.2">
      <c r="B1261" s="35"/>
      <c r="C1261" s="35"/>
      <c r="D1261" s="35"/>
    </row>
    <row r="1262" spans="2:4" x14ac:dyDescent="0.2">
      <c r="B1262" s="35"/>
      <c r="C1262" s="35"/>
      <c r="D1262" s="35"/>
    </row>
    <row r="1263" spans="2:4" x14ac:dyDescent="0.2">
      <c r="B1263" s="35"/>
      <c r="C1263" s="35"/>
      <c r="D1263" s="35"/>
    </row>
    <row r="1264" spans="2:4" x14ac:dyDescent="0.2">
      <c r="B1264" s="35"/>
      <c r="C1264" s="35"/>
      <c r="D1264" s="35"/>
    </row>
    <row r="1265" spans="2:4" x14ac:dyDescent="0.2">
      <c r="B1265" s="35"/>
      <c r="C1265" s="35"/>
      <c r="D1265" s="35"/>
    </row>
    <row r="1266" spans="2:4" x14ac:dyDescent="0.2">
      <c r="B1266" s="35"/>
      <c r="C1266" s="35"/>
      <c r="D1266" s="35"/>
    </row>
    <row r="1267" spans="2:4" x14ac:dyDescent="0.2">
      <c r="B1267" s="35"/>
      <c r="C1267" s="35"/>
      <c r="D1267" s="35"/>
    </row>
    <row r="1268" spans="2:4" x14ac:dyDescent="0.2">
      <c r="B1268" s="35"/>
      <c r="C1268" s="35"/>
      <c r="D1268" s="35"/>
    </row>
    <row r="1269" spans="2:4" x14ac:dyDescent="0.2">
      <c r="B1269" s="35"/>
      <c r="C1269" s="35"/>
      <c r="D1269" s="35"/>
    </row>
    <row r="1270" spans="2:4" x14ac:dyDescent="0.2">
      <c r="B1270" s="35"/>
      <c r="C1270" s="35"/>
      <c r="D1270" s="35"/>
    </row>
    <row r="1271" spans="2:4" x14ac:dyDescent="0.2">
      <c r="B1271" s="35"/>
      <c r="C1271" s="35"/>
      <c r="D1271" s="35"/>
    </row>
    <row r="1272" spans="2:4" x14ac:dyDescent="0.2">
      <c r="B1272" s="35"/>
      <c r="C1272" s="35"/>
      <c r="D1272" s="35"/>
    </row>
    <row r="1273" spans="2:4" x14ac:dyDescent="0.2">
      <c r="B1273" s="35"/>
      <c r="C1273" s="35"/>
      <c r="D1273" s="35"/>
    </row>
    <row r="1274" spans="2:4" x14ac:dyDescent="0.2">
      <c r="B1274" s="35"/>
      <c r="C1274" s="35"/>
      <c r="D1274" s="35"/>
    </row>
    <row r="1275" spans="2:4" x14ac:dyDescent="0.2">
      <c r="B1275" s="35"/>
      <c r="C1275" s="35"/>
      <c r="D1275" s="35"/>
    </row>
    <row r="1276" spans="2:4" x14ac:dyDescent="0.2">
      <c r="B1276" s="35"/>
      <c r="C1276" s="35"/>
      <c r="D1276" s="35"/>
    </row>
    <row r="1277" spans="2:4" x14ac:dyDescent="0.2">
      <c r="B1277" s="35"/>
      <c r="C1277" s="35"/>
      <c r="D1277" s="35"/>
    </row>
    <row r="1278" spans="2:4" x14ac:dyDescent="0.2">
      <c r="B1278" s="35"/>
      <c r="C1278" s="35"/>
      <c r="D1278" s="35"/>
    </row>
    <row r="1279" spans="2:4" x14ac:dyDescent="0.2">
      <c r="B1279" s="35"/>
      <c r="C1279" s="35"/>
      <c r="D1279" s="35"/>
    </row>
    <row r="1280" spans="2:4" x14ac:dyDescent="0.2">
      <c r="B1280" s="35"/>
      <c r="C1280" s="35"/>
      <c r="D1280" s="35"/>
    </row>
    <row r="1281" spans="2:4" x14ac:dyDescent="0.2">
      <c r="B1281" s="35"/>
      <c r="C1281" s="35"/>
      <c r="D1281" s="35"/>
    </row>
    <row r="1282" spans="2:4" x14ac:dyDescent="0.2">
      <c r="B1282" s="35"/>
      <c r="C1282" s="35"/>
      <c r="D1282" s="35"/>
    </row>
    <row r="1283" spans="2:4" x14ac:dyDescent="0.2">
      <c r="B1283" s="35"/>
      <c r="C1283" s="35"/>
      <c r="D1283" s="35"/>
    </row>
    <row r="1284" spans="2:4" x14ac:dyDescent="0.2">
      <c r="B1284" s="35"/>
      <c r="C1284" s="35"/>
      <c r="D1284" s="35"/>
    </row>
    <row r="1285" spans="2:4" x14ac:dyDescent="0.2">
      <c r="B1285" s="35"/>
      <c r="C1285" s="35"/>
      <c r="D1285" s="35"/>
    </row>
    <row r="1286" spans="2:4" x14ac:dyDescent="0.2">
      <c r="B1286" s="35"/>
      <c r="C1286" s="35"/>
      <c r="D1286" s="35"/>
    </row>
    <row r="1287" spans="2:4" x14ac:dyDescent="0.2">
      <c r="B1287" s="35"/>
      <c r="C1287" s="35"/>
      <c r="D1287" s="35"/>
    </row>
    <row r="1288" spans="2:4" x14ac:dyDescent="0.2">
      <c r="B1288" s="35"/>
      <c r="C1288" s="35"/>
      <c r="D1288" s="35"/>
    </row>
    <row r="1289" spans="2:4" x14ac:dyDescent="0.2">
      <c r="B1289" s="35"/>
      <c r="C1289" s="35"/>
      <c r="D1289" s="35"/>
    </row>
    <row r="1290" spans="2:4" x14ac:dyDescent="0.2">
      <c r="B1290" s="35"/>
      <c r="C1290" s="35"/>
      <c r="D1290" s="35"/>
    </row>
    <row r="1291" spans="2:4" x14ac:dyDescent="0.2">
      <c r="B1291" s="35"/>
      <c r="C1291" s="35"/>
      <c r="D1291" s="35"/>
    </row>
    <row r="1292" spans="2:4" x14ac:dyDescent="0.2">
      <c r="B1292" s="35"/>
      <c r="C1292" s="35"/>
      <c r="D1292" s="35"/>
    </row>
    <row r="1293" spans="2:4" x14ac:dyDescent="0.2">
      <c r="B1293" s="35"/>
      <c r="C1293" s="35"/>
      <c r="D1293" s="35"/>
    </row>
    <row r="1294" spans="2:4" x14ac:dyDescent="0.2">
      <c r="B1294" s="35"/>
      <c r="C1294" s="35"/>
      <c r="D1294" s="35"/>
    </row>
    <row r="1295" spans="2:4" x14ac:dyDescent="0.2">
      <c r="B1295" s="35"/>
      <c r="C1295" s="35"/>
      <c r="D1295" s="35"/>
    </row>
    <row r="1296" spans="2:4" x14ac:dyDescent="0.2">
      <c r="B1296" s="35"/>
      <c r="C1296" s="35"/>
      <c r="D1296" s="35"/>
    </row>
    <row r="1297" spans="2:4" x14ac:dyDescent="0.2">
      <c r="B1297" s="35"/>
      <c r="C1297" s="35"/>
      <c r="D1297" s="35"/>
    </row>
    <row r="1298" spans="2:4" x14ac:dyDescent="0.2">
      <c r="B1298" s="35"/>
      <c r="C1298" s="35"/>
      <c r="D1298" s="35"/>
    </row>
    <row r="1299" spans="2:4" x14ac:dyDescent="0.2">
      <c r="B1299" s="35"/>
      <c r="C1299" s="35"/>
      <c r="D1299" s="35"/>
    </row>
    <row r="1300" spans="2:4" x14ac:dyDescent="0.2">
      <c r="B1300" s="35"/>
      <c r="C1300" s="35"/>
      <c r="D1300" s="35"/>
    </row>
    <row r="1301" spans="2:4" x14ac:dyDescent="0.2">
      <c r="B1301" s="35"/>
      <c r="C1301" s="35"/>
      <c r="D1301" s="35"/>
    </row>
    <row r="1302" spans="2:4" x14ac:dyDescent="0.2">
      <c r="B1302" s="35"/>
      <c r="C1302" s="35"/>
      <c r="D1302" s="35"/>
    </row>
    <row r="1303" spans="2:4" x14ac:dyDescent="0.2">
      <c r="B1303" s="35"/>
      <c r="C1303" s="35"/>
      <c r="D1303" s="35"/>
    </row>
    <row r="1304" spans="2:4" x14ac:dyDescent="0.2">
      <c r="B1304" s="35"/>
      <c r="C1304" s="35"/>
      <c r="D1304" s="35"/>
    </row>
    <row r="1305" spans="2:4" x14ac:dyDescent="0.2">
      <c r="B1305" s="35"/>
      <c r="C1305" s="35"/>
      <c r="D1305" s="35"/>
    </row>
    <row r="1306" spans="2:4" x14ac:dyDescent="0.2">
      <c r="B1306" s="35"/>
      <c r="C1306" s="35"/>
      <c r="D1306" s="35"/>
    </row>
    <row r="1307" spans="2:4" x14ac:dyDescent="0.2">
      <c r="B1307" s="35"/>
      <c r="C1307" s="35"/>
      <c r="D1307" s="35"/>
    </row>
    <row r="1308" spans="2:4" x14ac:dyDescent="0.2">
      <c r="B1308" s="35"/>
      <c r="C1308" s="35"/>
      <c r="D1308" s="35"/>
    </row>
    <row r="1309" spans="2:4" x14ac:dyDescent="0.2">
      <c r="B1309" s="35"/>
      <c r="C1309" s="35"/>
      <c r="D1309" s="35"/>
    </row>
    <row r="1310" spans="2:4" x14ac:dyDescent="0.2">
      <c r="B1310" s="35"/>
      <c r="C1310" s="35"/>
      <c r="D1310" s="35"/>
    </row>
    <row r="1311" spans="2:4" x14ac:dyDescent="0.2">
      <c r="B1311" s="35"/>
      <c r="C1311" s="35"/>
      <c r="D1311" s="35"/>
    </row>
    <row r="1312" spans="2:4" x14ac:dyDescent="0.2">
      <c r="B1312" s="35"/>
      <c r="C1312" s="35"/>
      <c r="D1312" s="35"/>
    </row>
    <row r="1313" spans="2:4" x14ac:dyDescent="0.2">
      <c r="B1313" s="35"/>
      <c r="C1313" s="35"/>
      <c r="D1313" s="35"/>
    </row>
    <row r="1314" spans="2:4" x14ac:dyDescent="0.2">
      <c r="B1314" s="35"/>
      <c r="C1314" s="35"/>
      <c r="D1314" s="35"/>
    </row>
    <row r="1315" spans="2:4" x14ac:dyDescent="0.2">
      <c r="B1315" s="35"/>
      <c r="C1315" s="35"/>
      <c r="D1315" s="35"/>
    </row>
    <row r="1316" spans="2:4" x14ac:dyDescent="0.2">
      <c r="B1316" s="35"/>
      <c r="C1316" s="35"/>
      <c r="D1316" s="35"/>
    </row>
    <row r="1317" spans="2:4" x14ac:dyDescent="0.2">
      <c r="B1317" s="35"/>
      <c r="C1317" s="35"/>
      <c r="D1317" s="35"/>
    </row>
    <row r="1318" spans="2:4" x14ac:dyDescent="0.2">
      <c r="B1318" s="35"/>
      <c r="C1318" s="35"/>
      <c r="D1318" s="35"/>
    </row>
    <row r="1319" spans="2:4" x14ac:dyDescent="0.2">
      <c r="B1319" s="35"/>
      <c r="C1319" s="35"/>
      <c r="D1319" s="35"/>
    </row>
    <row r="1320" spans="2:4" x14ac:dyDescent="0.2">
      <c r="B1320" s="35"/>
      <c r="C1320" s="35"/>
      <c r="D1320" s="35"/>
    </row>
    <row r="1321" spans="2:4" x14ac:dyDescent="0.2">
      <c r="B1321" s="35"/>
      <c r="C1321" s="35"/>
      <c r="D1321" s="35"/>
    </row>
    <row r="1322" spans="2:4" x14ac:dyDescent="0.2">
      <c r="B1322" s="35"/>
      <c r="C1322" s="35"/>
      <c r="D1322" s="35"/>
    </row>
    <row r="1323" spans="2:4" x14ac:dyDescent="0.2">
      <c r="B1323" s="35"/>
      <c r="C1323" s="35"/>
      <c r="D1323" s="35"/>
    </row>
    <row r="1324" spans="2:4" x14ac:dyDescent="0.2">
      <c r="B1324" s="35"/>
      <c r="C1324" s="35"/>
      <c r="D1324" s="35"/>
    </row>
    <row r="1325" spans="2:4" x14ac:dyDescent="0.2">
      <c r="B1325" s="35"/>
      <c r="C1325" s="35"/>
      <c r="D1325" s="35"/>
    </row>
    <row r="1326" spans="2:4" x14ac:dyDescent="0.2">
      <c r="B1326" s="35"/>
      <c r="C1326" s="35"/>
      <c r="D1326" s="35"/>
    </row>
    <row r="1327" spans="2:4" x14ac:dyDescent="0.2">
      <c r="B1327" s="35"/>
      <c r="C1327" s="35"/>
      <c r="D1327" s="35"/>
    </row>
    <row r="1328" spans="2:4" x14ac:dyDescent="0.2">
      <c r="B1328" s="35"/>
      <c r="C1328" s="35"/>
      <c r="D1328" s="35"/>
    </row>
    <row r="1329" spans="2:4" x14ac:dyDescent="0.2">
      <c r="B1329" s="35"/>
      <c r="C1329" s="35"/>
      <c r="D1329" s="35"/>
    </row>
    <row r="1330" spans="2:4" x14ac:dyDescent="0.2">
      <c r="B1330" s="35"/>
      <c r="C1330" s="35"/>
      <c r="D1330" s="35"/>
    </row>
    <row r="1331" spans="2:4" x14ac:dyDescent="0.2">
      <c r="B1331" s="35"/>
      <c r="C1331" s="35"/>
      <c r="D1331" s="35"/>
    </row>
    <row r="1332" spans="2:4" x14ac:dyDescent="0.2">
      <c r="B1332" s="35"/>
      <c r="C1332" s="35"/>
      <c r="D1332" s="35"/>
    </row>
    <row r="1333" spans="2:4" x14ac:dyDescent="0.2">
      <c r="B1333" s="35"/>
      <c r="C1333" s="35"/>
      <c r="D1333" s="35"/>
    </row>
    <row r="1334" spans="2:4" x14ac:dyDescent="0.2">
      <c r="B1334" s="35"/>
      <c r="C1334" s="35"/>
      <c r="D1334" s="35"/>
    </row>
    <row r="1335" spans="2:4" x14ac:dyDescent="0.2">
      <c r="B1335" s="35"/>
      <c r="C1335" s="35"/>
      <c r="D1335" s="35"/>
    </row>
    <row r="1336" spans="2:4" x14ac:dyDescent="0.2">
      <c r="B1336" s="35"/>
      <c r="C1336" s="35"/>
      <c r="D1336" s="35"/>
    </row>
    <row r="1337" spans="2:4" x14ac:dyDescent="0.2">
      <c r="B1337" s="35"/>
      <c r="C1337" s="35"/>
      <c r="D1337" s="35"/>
    </row>
    <row r="1338" spans="2:4" x14ac:dyDescent="0.2">
      <c r="B1338" s="35"/>
      <c r="C1338" s="35"/>
      <c r="D1338" s="35"/>
    </row>
    <row r="1339" spans="2:4" x14ac:dyDescent="0.2">
      <c r="B1339" s="35"/>
      <c r="C1339" s="35"/>
      <c r="D1339" s="35"/>
    </row>
    <row r="1340" spans="2:4" x14ac:dyDescent="0.2">
      <c r="B1340" s="35"/>
      <c r="C1340" s="35"/>
      <c r="D1340" s="35"/>
    </row>
    <row r="1341" spans="2:4" x14ac:dyDescent="0.2">
      <c r="B1341" s="35"/>
      <c r="C1341" s="35"/>
      <c r="D1341" s="35"/>
    </row>
    <row r="1342" spans="2:4" x14ac:dyDescent="0.2">
      <c r="B1342" s="35"/>
      <c r="C1342" s="35"/>
      <c r="D1342" s="35"/>
    </row>
    <row r="1343" spans="2:4" x14ac:dyDescent="0.2">
      <c r="B1343" s="35"/>
      <c r="C1343" s="35"/>
      <c r="D1343" s="35"/>
    </row>
    <row r="1344" spans="2:4" x14ac:dyDescent="0.2">
      <c r="B1344" s="35"/>
      <c r="C1344" s="35"/>
      <c r="D1344" s="35"/>
    </row>
    <row r="1345" spans="2:4" x14ac:dyDescent="0.2">
      <c r="B1345" s="35"/>
      <c r="C1345" s="35"/>
      <c r="D1345" s="35"/>
    </row>
    <row r="1346" spans="2:4" x14ac:dyDescent="0.2">
      <c r="B1346" s="35"/>
      <c r="C1346" s="35"/>
      <c r="D1346" s="35"/>
    </row>
    <row r="1347" spans="2:4" x14ac:dyDescent="0.2">
      <c r="B1347" s="35"/>
      <c r="C1347" s="35"/>
      <c r="D1347" s="35"/>
    </row>
    <row r="1348" spans="2:4" x14ac:dyDescent="0.2">
      <c r="B1348" s="35"/>
      <c r="C1348" s="35"/>
      <c r="D1348" s="35"/>
    </row>
    <row r="1349" spans="2:4" x14ac:dyDescent="0.2">
      <c r="B1349" s="35"/>
      <c r="C1349" s="35"/>
      <c r="D1349" s="35"/>
    </row>
    <row r="1350" spans="2:4" x14ac:dyDescent="0.2">
      <c r="B1350" s="35"/>
      <c r="C1350" s="35"/>
      <c r="D1350" s="35"/>
    </row>
    <row r="1351" spans="2:4" x14ac:dyDescent="0.2">
      <c r="B1351" s="35"/>
      <c r="C1351" s="35"/>
      <c r="D1351" s="35"/>
    </row>
    <row r="1352" spans="2:4" x14ac:dyDescent="0.2">
      <c r="B1352" s="35"/>
      <c r="C1352" s="35"/>
      <c r="D1352" s="35"/>
    </row>
    <row r="1353" spans="2:4" x14ac:dyDescent="0.2">
      <c r="B1353" s="35"/>
      <c r="C1353" s="35"/>
      <c r="D1353" s="35"/>
    </row>
    <row r="1354" spans="2:4" x14ac:dyDescent="0.2">
      <c r="B1354" s="35"/>
      <c r="C1354" s="35"/>
      <c r="D1354" s="35"/>
    </row>
    <row r="1355" spans="2:4" x14ac:dyDescent="0.2">
      <c r="B1355" s="35"/>
      <c r="C1355" s="35"/>
      <c r="D1355" s="35"/>
    </row>
    <row r="1356" spans="2:4" x14ac:dyDescent="0.2">
      <c r="B1356" s="35"/>
      <c r="C1356" s="35"/>
      <c r="D1356" s="35"/>
    </row>
    <row r="1357" spans="2:4" x14ac:dyDescent="0.2">
      <c r="B1357" s="35"/>
      <c r="C1357" s="35"/>
      <c r="D1357" s="35"/>
    </row>
    <row r="1358" spans="2:4" x14ac:dyDescent="0.2">
      <c r="B1358" s="35"/>
      <c r="C1358" s="35"/>
      <c r="D1358" s="35"/>
    </row>
    <row r="1359" spans="2:4" x14ac:dyDescent="0.2">
      <c r="B1359" s="35"/>
      <c r="C1359" s="35"/>
      <c r="D1359" s="35"/>
    </row>
    <row r="1360" spans="2:4" x14ac:dyDescent="0.2">
      <c r="B1360" s="35"/>
      <c r="C1360" s="35"/>
      <c r="D1360" s="35"/>
    </row>
    <row r="1361" spans="2:4" x14ac:dyDescent="0.2">
      <c r="B1361" s="35"/>
      <c r="C1361" s="35"/>
      <c r="D1361" s="35"/>
    </row>
    <row r="1362" spans="2:4" x14ac:dyDescent="0.2">
      <c r="B1362" s="35"/>
      <c r="C1362" s="35"/>
      <c r="D1362" s="35"/>
    </row>
    <row r="1363" spans="2:4" x14ac:dyDescent="0.2">
      <c r="B1363" s="35"/>
      <c r="C1363" s="35"/>
      <c r="D1363" s="35"/>
    </row>
    <row r="1364" spans="2:4" x14ac:dyDescent="0.2">
      <c r="B1364" s="35"/>
      <c r="C1364" s="35"/>
      <c r="D1364" s="35"/>
    </row>
    <row r="1365" spans="2:4" x14ac:dyDescent="0.2">
      <c r="B1365" s="35"/>
      <c r="C1365" s="35"/>
      <c r="D1365" s="35"/>
    </row>
    <row r="1366" spans="2:4" x14ac:dyDescent="0.2">
      <c r="B1366" s="35"/>
      <c r="C1366" s="35"/>
      <c r="D1366" s="35"/>
    </row>
    <row r="1367" spans="2:4" x14ac:dyDescent="0.2">
      <c r="B1367" s="35"/>
      <c r="C1367" s="35"/>
      <c r="D1367" s="35"/>
    </row>
    <row r="1368" spans="2:4" x14ac:dyDescent="0.2">
      <c r="B1368" s="35"/>
      <c r="C1368" s="35"/>
      <c r="D1368" s="35"/>
    </row>
    <row r="1369" spans="2:4" x14ac:dyDescent="0.2">
      <c r="B1369" s="35"/>
      <c r="C1369" s="35"/>
      <c r="D1369" s="35"/>
    </row>
    <row r="1370" spans="2:4" x14ac:dyDescent="0.2">
      <c r="B1370" s="35"/>
      <c r="C1370" s="35"/>
      <c r="D1370" s="35"/>
    </row>
    <row r="1371" spans="2:4" x14ac:dyDescent="0.2">
      <c r="B1371" s="35"/>
      <c r="C1371" s="35"/>
      <c r="D1371" s="35"/>
    </row>
    <row r="1372" spans="2:4" x14ac:dyDescent="0.2">
      <c r="B1372" s="35"/>
      <c r="C1372" s="35"/>
      <c r="D1372" s="35"/>
    </row>
    <row r="1373" spans="2:4" x14ac:dyDescent="0.2">
      <c r="B1373" s="35"/>
      <c r="C1373" s="35"/>
      <c r="D1373" s="35"/>
    </row>
    <row r="1374" spans="2:4" x14ac:dyDescent="0.2">
      <c r="B1374" s="35"/>
      <c r="C1374" s="35"/>
      <c r="D1374" s="35"/>
    </row>
    <row r="1375" spans="2:4" x14ac:dyDescent="0.2">
      <c r="B1375" s="35"/>
      <c r="C1375" s="35"/>
      <c r="D1375" s="35"/>
    </row>
    <row r="1376" spans="2:4" x14ac:dyDescent="0.2">
      <c r="B1376" s="35"/>
      <c r="C1376" s="35"/>
      <c r="D1376" s="35"/>
    </row>
    <row r="1377" spans="2:4" x14ac:dyDescent="0.2">
      <c r="B1377" s="35"/>
      <c r="C1377" s="35"/>
      <c r="D1377" s="35"/>
    </row>
    <row r="1378" spans="2:4" x14ac:dyDescent="0.2">
      <c r="B1378" s="35"/>
      <c r="C1378" s="35"/>
      <c r="D1378" s="35"/>
    </row>
    <row r="1379" spans="2:4" x14ac:dyDescent="0.2">
      <c r="B1379" s="35"/>
      <c r="C1379" s="35"/>
      <c r="D1379" s="35"/>
    </row>
    <row r="1380" spans="2:4" x14ac:dyDescent="0.2">
      <c r="B1380" s="35"/>
      <c r="C1380" s="35"/>
      <c r="D1380" s="35"/>
    </row>
    <row r="1381" spans="2:4" x14ac:dyDescent="0.2">
      <c r="B1381" s="35"/>
      <c r="C1381" s="35"/>
      <c r="D1381" s="35"/>
    </row>
    <row r="1382" spans="2:4" x14ac:dyDescent="0.2">
      <c r="B1382" s="35"/>
      <c r="C1382" s="35"/>
      <c r="D1382" s="35"/>
    </row>
    <row r="1383" spans="2:4" x14ac:dyDescent="0.2">
      <c r="B1383" s="35"/>
      <c r="C1383" s="35"/>
      <c r="D1383" s="35"/>
    </row>
    <row r="1384" spans="2:4" x14ac:dyDescent="0.2">
      <c r="B1384" s="35"/>
      <c r="C1384" s="35"/>
      <c r="D1384" s="35"/>
    </row>
    <row r="1385" spans="2:4" x14ac:dyDescent="0.2">
      <c r="B1385" s="35"/>
      <c r="C1385" s="35"/>
      <c r="D1385" s="35"/>
    </row>
    <row r="1386" spans="2:4" x14ac:dyDescent="0.2">
      <c r="B1386" s="35"/>
      <c r="C1386" s="35"/>
      <c r="D1386" s="35"/>
    </row>
    <row r="1387" spans="2:4" x14ac:dyDescent="0.2">
      <c r="B1387" s="35"/>
      <c r="C1387" s="35"/>
      <c r="D1387" s="35"/>
    </row>
    <row r="1388" spans="2:4" x14ac:dyDescent="0.2">
      <c r="B1388" s="35"/>
      <c r="C1388" s="35"/>
      <c r="D1388" s="35"/>
    </row>
    <row r="1389" spans="2:4" x14ac:dyDescent="0.2">
      <c r="B1389" s="35"/>
      <c r="C1389" s="35"/>
      <c r="D1389" s="35"/>
    </row>
    <row r="1390" spans="2:4" x14ac:dyDescent="0.2">
      <c r="B1390" s="35"/>
      <c r="C1390" s="35"/>
      <c r="D1390" s="35"/>
    </row>
    <row r="1391" spans="2:4" x14ac:dyDescent="0.2">
      <c r="B1391" s="35"/>
      <c r="C1391" s="35"/>
      <c r="D1391" s="35"/>
    </row>
    <row r="1392" spans="2:4" x14ac:dyDescent="0.2">
      <c r="B1392" s="35"/>
      <c r="C1392" s="35"/>
      <c r="D1392" s="35"/>
    </row>
    <row r="1393" spans="2:4" x14ac:dyDescent="0.2">
      <c r="B1393" s="35"/>
      <c r="C1393" s="35"/>
      <c r="D1393" s="35"/>
    </row>
    <row r="1394" spans="2:4" x14ac:dyDescent="0.2">
      <c r="B1394" s="35"/>
      <c r="C1394" s="35"/>
      <c r="D1394" s="35"/>
    </row>
    <row r="1395" spans="2:4" x14ac:dyDescent="0.2">
      <c r="B1395" s="35"/>
      <c r="C1395" s="35"/>
      <c r="D1395" s="35"/>
    </row>
    <row r="1396" spans="2:4" x14ac:dyDescent="0.2">
      <c r="B1396" s="35"/>
      <c r="C1396" s="35"/>
      <c r="D1396" s="35"/>
    </row>
    <row r="1397" spans="2:4" x14ac:dyDescent="0.2">
      <c r="B1397" s="35"/>
      <c r="C1397" s="35"/>
      <c r="D1397" s="35"/>
    </row>
    <row r="1398" spans="2:4" x14ac:dyDescent="0.2">
      <c r="B1398" s="35"/>
      <c r="C1398" s="35"/>
      <c r="D1398" s="35"/>
    </row>
    <row r="1399" spans="2:4" x14ac:dyDescent="0.2">
      <c r="B1399" s="35"/>
      <c r="C1399" s="35"/>
      <c r="D1399" s="35"/>
    </row>
    <row r="1400" spans="2:4" x14ac:dyDescent="0.2">
      <c r="B1400" s="35"/>
      <c r="C1400" s="35"/>
      <c r="D1400" s="35"/>
    </row>
    <row r="1401" spans="2:4" x14ac:dyDescent="0.2">
      <c r="B1401" s="35"/>
      <c r="C1401" s="35"/>
      <c r="D1401" s="35"/>
    </row>
    <row r="1402" spans="2:4" x14ac:dyDescent="0.2">
      <c r="B1402" s="35"/>
      <c r="C1402" s="35"/>
      <c r="D1402" s="35"/>
    </row>
    <row r="1403" spans="2:4" x14ac:dyDescent="0.2">
      <c r="B1403" s="35"/>
      <c r="C1403" s="35"/>
      <c r="D1403" s="35"/>
    </row>
    <row r="1404" spans="2:4" x14ac:dyDescent="0.2">
      <c r="B1404" s="35"/>
      <c r="C1404" s="35"/>
      <c r="D1404" s="35"/>
    </row>
    <row r="1405" spans="2:4" x14ac:dyDescent="0.2">
      <c r="B1405" s="35"/>
      <c r="C1405" s="35"/>
      <c r="D1405" s="35"/>
    </row>
    <row r="1406" spans="2:4" x14ac:dyDescent="0.2">
      <c r="B1406" s="35"/>
      <c r="C1406" s="35"/>
      <c r="D1406" s="35"/>
    </row>
    <row r="1407" spans="2:4" x14ac:dyDescent="0.2">
      <c r="B1407" s="35"/>
      <c r="C1407" s="35"/>
      <c r="D1407" s="35"/>
    </row>
    <row r="1408" spans="2:4" x14ac:dyDescent="0.2">
      <c r="B1408" s="35"/>
      <c r="C1408" s="35"/>
      <c r="D1408" s="35"/>
    </row>
    <row r="1409" spans="2:4" x14ac:dyDescent="0.2">
      <c r="B1409" s="35"/>
      <c r="C1409" s="35"/>
      <c r="D1409" s="35"/>
    </row>
    <row r="1410" spans="2:4" x14ac:dyDescent="0.2">
      <c r="B1410" s="35"/>
      <c r="C1410" s="35"/>
      <c r="D1410" s="35"/>
    </row>
    <row r="1411" spans="2:4" x14ac:dyDescent="0.2">
      <c r="B1411" s="35"/>
      <c r="C1411" s="35"/>
      <c r="D1411" s="35"/>
    </row>
    <row r="1412" spans="2:4" x14ac:dyDescent="0.2">
      <c r="B1412" s="35"/>
      <c r="C1412" s="35"/>
      <c r="D1412" s="35"/>
    </row>
    <row r="1413" spans="2:4" x14ac:dyDescent="0.2">
      <c r="B1413" s="35"/>
      <c r="C1413" s="35"/>
      <c r="D1413" s="35"/>
    </row>
    <row r="1414" spans="2:4" x14ac:dyDescent="0.2">
      <c r="B1414" s="35"/>
      <c r="C1414" s="35"/>
      <c r="D1414" s="35"/>
    </row>
    <row r="1415" spans="2:4" x14ac:dyDescent="0.2">
      <c r="B1415" s="35"/>
      <c r="C1415" s="35"/>
      <c r="D1415" s="35"/>
    </row>
    <row r="1416" spans="2:4" x14ac:dyDescent="0.2">
      <c r="B1416" s="35"/>
      <c r="C1416" s="35"/>
      <c r="D1416" s="35"/>
    </row>
    <row r="1417" spans="2:4" x14ac:dyDescent="0.2">
      <c r="B1417" s="35"/>
      <c r="C1417" s="35"/>
      <c r="D1417" s="35"/>
    </row>
    <row r="1418" spans="2:4" x14ac:dyDescent="0.2">
      <c r="B1418" s="35"/>
      <c r="C1418" s="35"/>
      <c r="D1418" s="35"/>
    </row>
    <row r="1419" spans="2:4" x14ac:dyDescent="0.2">
      <c r="B1419" s="35"/>
      <c r="C1419" s="35"/>
      <c r="D1419" s="35"/>
    </row>
    <row r="1420" spans="2:4" x14ac:dyDescent="0.2">
      <c r="B1420" s="35"/>
      <c r="C1420" s="35"/>
      <c r="D1420" s="35"/>
    </row>
    <row r="1421" spans="2:4" x14ac:dyDescent="0.2">
      <c r="B1421" s="35"/>
      <c r="C1421" s="35"/>
      <c r="D1421" s="35"/>
    </row>
    <row r="1422" spans="2:4" x14ac:dyDescent="0.2">
      <c r="B1422" s="35"/>
      <c r="C1422" s="35"/>
      <c r="D1422" s="35"/>
    </row>
    <row r="1423" spans="2:4" x14ac:dyDescent="0.2">
      <c r="B1423" s="35"/>
      <c r="C1423" s="35"/>
      <c r="D1423" s="35"/>
    </row>
    <row r="1424" spans="2:4" x14ac:dyDescent="0.2">
      <c r="B1424" s="35"/>
      <c r="C1424" s="35"/>
      <c r="D1424" s="35"/>
    </row>
    <row r="1425" spans="2:4" x14ac:dyDescent="0.2">
      <c r="B1425" s="35"/>
      <c r="C1425" s="35"/>
      <c r="D1425" s="35"/>
    </row>
    <row r="1426" spans="2:4" x14ac:dyDescent="0.2">
      <c r="B1426" s="35"/>
      <c r="C1426" s="35"/>
      <c r="D1426" s="35"/>
    </row>
    <row r="1427" spans="2:4" x14ac:dyDescent="0.2">
      <c r="B1427" s="35"/>
      <c r="C1427" s="35"/>
      <c r="D1427" s="35"/>
    </row>
    <row r="1428" spans="2:4" x14ac:dyDescent="0.2">
      <c r="B1428" s="35"/>
      <c r="C1428" s="35"/>
      <c r="D1428" s="35"/>
    </row>
    <row r="1429" spans="2:4" x14ac:dyDescent="0.2">
      <c r="B1429" s="35"/>
      <c r="C1429" s="35"/>
      <c r="D1429" s="35"/>
    </row>
    <row r="1430" spans="2:4" x14ac:dyDescent="0.2">
      <c r="B1430" s="35"/>
      <c r="C1430" s="35"/>
      <c r="D1430" s="35"/>
    </row>
    <row r="1431" spans="2:4" x14ac:dyDescent="0.2">
      <c r="B1431" s="35"/>
      <c r="C1431" s="35"/>
      <c r="D1431" s="35"/>
    </row>
    <row r="1432" spans="2:4" x14ac:dyDescent="0.2">
      <c r="B1432" s="35"/>
      <c r="C1432" s="35"/>
      <c r="D1432" s="35"/>
    </row>
    <row r="1433" spans="2:4" x14ac:dyDescent="0.2">
      <c r="B1433" s="35"/>
      <c r="C1433" s="35"/>
      <c r="D1433" s="35"/>
    </row>
    <row r="1434" spans="2:4" x14ac:dyDescent="0.2">
      <c r="B1434" s="35"/>
      <c r="C1434" s="35"/>
      <c r="D1434" s="35"/>
    </row>
    <row r="1435" spans="2:4" x14ac:dyDescent="0.2">
      <c r="B1435" s="35"/>
      <c r="C1435" s="35"/>
      <c r="D1435" s="35"/>
    </row>
    <row r="1436" spans="2:4" x14ac:dyDescent="0.2">
      <c r="B1436" s="35"/>
      <c r="C1436" s="35"/>
      <c r="D1436" s="35"/>
    </row>
    <row r="1437" spans="2:4" x14ac:dyDescent="0.2">
      <c r="B1437" s="35"/>
      <c r="C1437" s="35"/>
      <c r="D1437" s="35"/>
    </row>
    <row r="1438" spans="2:4" x14ac:dyDescent="0.2">
      <c r="B1438" s="35"/>
      <c r="C1438" s="35"/>
      <c r="D1438" s="35"/>
    </row>
    <row r="1439" spans="2:4" x14ac:dyDescent="0.2">
      <c r="B1439" s="35"/>
      <c r="C1439" s="35"/>
      <c r="D1439" s="35"/>
    </row>
    <row r="1440" spans="2:4" x14ac:dyDescent="0.2">
      <c r="B1440" s="35"/>
      <c r="C1440" s="35"/>
      <c r="D1440" s="35"/>
    </row>
    <row r="1441" spans="2:4" x14ac:dyDescent="0.2">
      <c r="B1441" s="35"/>
      <c r="C1441" s="35"/>
      <c r="D1441" s="35"/>
    </row>
    <row r="1442" spans="2:4" x14ac:dyDescent="0.2">
      <c r="B1442" s="35"/>
      <c r="C1442" s="35"/>
      <c r="D1442" s="35"/>
    </row>
    <row r="1443" spans="2:4" x14ac:dyDescent="0.2">
      <c r="B1443" s="35"/>
      <c r="C1443" s="35"/>
      <c r="D1443" s="35"/>
    </row>
    <row r="1444" spans="2:4" x14ac:dyDescent="0.2">
      <c r="B1444" s="35"/>
      <c r="C1444" s="35"/>
      <c r="D1444" s="35"/>
    </row>
    <row r="1445" spans="2:4" x14ac:dyDescent="0.2">
      <c r="B1445" s="35"/>
      <c r="C1445" s="35"/>
      <c r="D1445" s="35"/>
    </row>
    <row r="1446" spans="2:4" x14ac:dyDescent="0.2">
      <c r="B1446" s="35"/>
      <c r="C1446" s="35"/>
      <c r="D1446" s="35"/>
    </row>
    <row r="1447" spans="2:4" x14ac:dyDescent="0.2">
      <c r="B1447" s="35"/>
      <c r="C1447" s="35"/>
      <c r="D1447" s="35"/>
    </row>
    <row r="1448" spans="2:4" x14ac:dyDescent="0.2">
      <c r="B1448" s="35"/>
      <c r="C1448" s="35"/>
      <c r="D1448" s="35"/>
    </row>
    <row r="1449" spans="2:4" x14ac:dyDescent="0.2">
      <c r="B1449" s="35"/>
      <c r="C1449" s="35"/>
      <c r="D1449" s="35"/>
    </row>
    <row r="1450" spans="2:4" x14ac:dyDescent="0.2">
      <c r="B1450" s="35"/>
      <c r="C1450" s="35"/>
      <c r="D1450" s="35"/>
    </row>
    <row r="1451" spans="2:4" x14ac:dyDescent="0.2">
      <c r="B1451" s="35"/>
      <c r="C1451" s="35"/>
      <c r="D1451" s="35"/>
    </row>
    <row r="1452" spans="2:4" x14ac:dyDescent="0.2">
      <c r="B1452" s="35"/>
      <c r="C1452" s="35"/>
      <c r="D1452" s="35"/>
    </row>
    <row r="1453" spans="2:4" x14ac:dyDescent="0.2">
      <c r="B1453" s="35"/>
      <c r="C1453" s="35"/>
      <c r="D1453" s="35"/>
    </row>
    <row r="1454" spans="2:4" x14ac:dyDescent="0.2">
      <c r="B1454" s="35"/>
      <c r="C1454" s="35"/>
      <c r="D1454" s="35"/>
    </row>
    <row r="1455" spans="2:4" x14ac:dyDescent="0.2">
      <c r="B1455" s="35"/>
      <c r="C1455" s="35"/>
      <c r="D1455" s="35"/>
    </row>
    <row r="1456" spans="2:4" x14ac:dyDescent="0.2">
      <c r="B1456" s="35"/>
      <c r="C1456" s="35"/>
      <c r="D1456" s="35"/>
    </row>
    <row r="1457" spans="2:4" x14ac:dyDescent="0.2">
      <c r="B1457" s="35"/>
      <c r="C1457" s="35"/>
      <c r="D1457" s="35"/>
    </row>
    <row r="1458" spans="2:4" x14ac:dyDescent="0.2">
      <c r="B1458" s="35"/>
      <c r="C1458" s="35"/>
      <c r="D1458" s="35"/>
    </row>
    <row r="1459" spans="2:4" x14ac:dyDescent="0.2">
      <c r="B1459" s="35"/>
      <c r="C1459" s="35"/>
      <c r="D1459" s="35"/>
    </row>
    <row r="1460" spans="2:4" x14ac:dyDescent="0.2">
      <c r="B1460" s="35"/>
      <c r="C1460" s="35"/>
      <c r="D1460" s="35"/>
    </row>
    <row r="1461" spans="2:4" x14ac:dyDescent="0.2">
      <c r="B1461" s="35"/>
      <c r="C1461" s="35"/>
      <c r="D1461" s="35"/>
    </row>
    <row r="1462" spans="2:4" x14ac:dyDescent="0.2">
      <c r="B1462" s="35"/>
      <c r="C1462" s="35"/>
      <c r="D1462" s="35"/>
    </row>
    <row r="1463" spans="2:4" x14ac:dyDescent="0.2">
      <c r="B1463" s="35"/>
      <c r="C1463" s="35"/>
      <c r="D1463" s="35"/>
    </row>
    <row r="1464" spans="2:4" x14ac:dyDescent="0.2">
      <c r="B1464" s="35"/>
      <c r="C1464" s="35"/>
      <c r="D1464" s="35"/>
    </row>
    <row r="1465" spans="2:4" x14ac:dyDescent="0.2">
      <c r="B1465" s="35"/>
      <c r="C1465" s="35"/>
      <c r="D1465" s="35"/>
    </row>
    <row r="1466" spans="2:4" x14ac:dyDescent="0.2">
      <c r="B1466" s="35"/>
      <c r="C1466" s="35"/>
      <c r="D1466" s="35"/>
    </row>
    <row r="1467" spans="2:4" x14ac:dyDescent="0.2">
      <c r="B1467" s="35"/>
      <c r="C1467" s="35"/>
      <c r="D1467" s="35"/>
    </row>
    <row r="1468" spans="2:4" x14ac:dyDescent="0.2">
      <c r="B1468" s="35"/>
      <c r="C1468" s="35"/>
      <c r="D1468" s="35"/>
    </row>
    <row r="1469" spans="2:4" x14ac:dyDescent="0.2">
      <c r="B1469" s="35"/>
      <c r="C1469" s="35"/>
      <c r="D1469" s="35"/>
    </row>
    <row r="1470" spans="2:4" x14ac:dyDescent="0.2">
      <c r="B1470" s="35"/>
      <c r="C1470" s="35"/>
      <c r="D1470" s="35"/>
    </row>
    <row r="1471" spans="2:4" x14ac:dyDescent="0.2">
      <c r="B1471" s="35"/>
      <c r="C1471" s="35"/>
      <c r="D1471" s="35"/>
    </row>
    <row r="1472" spans="2:4" x14ac:dyDescent="0.2">
      <c r="B1472" s="35"/>
      <c r="C1472" s="35"/>
      <c r="D1472" s="35"/>
    </row>
    <row r="1473" spans="2:4" x14ac:dyDescent="0.2">
      <c r="B1473" s="35"/>
      <c r="C1473" s="35"/>
      <c r="D1473" s="35"/>
    </row>
    <row r="1474" spans="2:4" x14ac:dyDescent="0.2">
      <c r="B1474" s="35"/>
      <c r="C1474" s="35"/>
      <c r="D1474" s="35"/>
    </row>
    <row r="1475" spans="2:4" x14ac:dyDescent="0.2">
      <c r="B1475" s="35"/>
      <c r="C1475" s="35"/>
      <c r="D1475" s="35"/>
    </row>
    <row r="1476" spans="2:4" x14ac:dyDescent="0.2">
      <c r="B1476" s="35"/>
      <c r="C1476" s="35"/>
      <c r="D1476" s="35"/>
    </row>
    <row r="1477" spans="2:4" x14ac:dyDescent="0.2">
      <c r="B1477" s="35"/>
      <c r="C1477" s="35"/>
      <c r="D1477" s="35"/>
    </row>
    <row r="1478" spans="2:4" x14ac:dyDescent="0.2">
      <c r="B1478" s="35"/>
      <c r="C1478" s="35"/>
      <c r="D1478" s="35"/>
    </row>
    <row r="1479" spans="2:4" x14ac:dyDescent="0.2">
      <c r="B1479" s="35"/>
      <c r="C1479" s="35"/>
      <c r="D1479" s="35"/>
    </row>
    <row r="1480" spans="2:4" x14ac:dyDescent="0.2">
      <c r="B1480" s="35"/>
      <c r="C1480" s="35"/>
      <c r="D1480" s="35"/>
    </row>
    <row r="1481" spans="2:4" x14ac:dyDescent="0.2">
      <c r="B1481" s="35"/>
      <c r="C1481" s="35"/>
      <c r="D1481" s="35"/>
    </row>
    <row r="1482" spans="2:4" x14ac:dyDescent="0.2">
      <c r="B1482" s="35"/>
      <c r="C1482" s="35"/>
      <c r="D1482" s="35"/>
    </row>
    <row r="1483" spans="2:4" x14ac:dyDescent="0.2">
      <c r="B1483" s="35"/>
      <c r="C1483" s="35"/>
      <c r="D1483" s="35"/>
    </row>
    <row r="1484" spans="2:4" x14ac:dyDescent="0.2">
      <c r="B1484" s="35"/>
      <c r="C1484" s="35"/>
      <c r="D1484" s="35"/>
    </row>
    <row r="1485" spans="2:4" x14ac:dyDescent="0.2">
      <c r="B1485" s="35"/>
      <c r="C1485" s="35"/>
      <c r="D1485" s="35"/>
    </row>
    <row r="1486" spans="2:4" x14ac:dyDescent="0.2">
      <c r="B1486" s="35"/>
      <c r="C1486" s="35"/>
      <c r="D1486" s="35"/>
    </row>
    <row r="1487" spans="2:4" x14ac:dyDescent="0.2">
      <c r="B1487" s="35"/>
      <c r="C1487" s="35"/>
      <c r="D1487" s="35"/>
    </row>
    <row r="1488" spans="2:4" x14ac:dyDescent="0.2">
      <c r="B1488" s="35"/>
      <c r="C1488" s="35"/>
      <c r="D1488" s="35"/>
    </row>
    <row r="1489" spans="2:4" x14ac:dyDescent="0.2">
      <c r="B1489" s="35"/>
      <c r="C1489" s="35"/>
      <c r="D1489" s="35"/>
    </row>
    <row r="1490" spans="2:4" x14ac:dyDescent="0.2">
      <c r="B1490" s="35"/>
      <c r="C1490" s="35"/>
      <c r="D1490" s="35"/>
    </row>
    <row r="1491" spans="2:4" x14ac:dyDescent="0.2">
      <c r="B1491" s="35"/>
      <c r="C1491" s="35"/>
      <c r="D1491" s="35"/>
    </row>
    <row r="1492" spans="2:4" x14ac:dyDescent="0.2">
      <c r="B1492" s="35"/>
      <c r="C1492" s="35"/>
      <c r="D1492" s="35"/>
    </row>
    <row r="1493" spans="2:4" x14ac:dyDescent="0.2">
      <c r="B1493" s="35"/>
      <c r="C1493" s="35"/>
      <c r="D1493" s="35"/>
    </row>
    <row r="1494" spans="2:4" x14ac:dyDescent="0.2">
      <c r="B1494" s="35"/>
      <c r="C1494" s="35"/>
      <c r="D1494" s="35"/>
    </row>
    <row r="1495" spans="2:4" x14ac:dyDescent="0.2">
      <c r="B1495" s="35"/>
      <c r="C1495" s="35"/>
      <c r="D1495" s="35"/>
    </row>
    <row r="1496" spans="2:4" x14ac:dyDescent="0.2">
      <c r="B1496" s="35"/>
      <c r="C1496" s="35"/>
      <c r="D1496" s="35"/>
    </row>
    <row r="1497" spans="2:4" x14ac:dyDescent="0.2">
      <c r="B1497" s="35"/>
      <c r="C1497" s="35"/>
      <c r="D1497" s="35"/>
    </row>
    <row r="1498" spans="2:4" x14ac:dyDescent="0.2">
      <c r="B1498" s="35"/>
      <c r="C1498" s="35"/>
      <c r="D1498" s="35"/>
    </row>
    <row r="1499" spans="2:4" x14ac:dyDescent="0.2">
      <c r="B1499" s="35"/>
      <c r="C1499" s="35"/>
      <c r="D1499" s="35"/>
    </row>
    <row r="1500" spans="2:4" x14ac:dyDescent="0.2">
      <c r="B1500" s="35"/>
      <c r="C1500" s="35"/>
      <c r="D1500" s="35"/>
    </row>
    <row r="1501" spans="2:4" x14ac:dyDescent="0.2">
      <c r="B1501" s="35"/>
      <c r="C1501" s="35"/>
      <c r="D1501" s="35"/>
    </row>
    <row r="1502" spans="2:4" x14ac:dyDescent="0.2">
      <c r="B1502" s="35"/>
      <c r="C1502" s="35"/>
      <c r="D1502" s="35"/>
    </row>
    <row r="1503" spans="2:4" x14ac:dyDescent="0.2">
      <c r="B1503" s="35"/>
      <c r="C1503" s="35"/>
      <c r="D1503" s="35"/>
    </row>
    <row r="1504" spans="2:4" x14ac:dyDescent="0.2">
      <c r="B1504" s="35"/>
      <c r="C1504" s="35"/>
      <c r="D1504" s="35"/>
    </row>
    <row r="1505" spans="2:4" x14ac:dyDescent="0.2">
      <c r="B1505" s="35"/>
      <c r="C1505" s="35"/>
      <c r="D1505" s="35"/>
    </row>
    <row r="1506" spans="2:4" x14ac:dyDescent="0.2">
      <c r="B1506" s="35"/>
      <c r="C1506" s="35"/>
      <c r="D1506" s="35"/>
    </row>
    <row r="1507" spans="2:4" x14ac:dyDescent="0.2">
      <c r="B1507" s="35"/>
      <c r="C1507" s="35"/>
      <c r="D1507" s="35"/>
    </row>
    <row r="1508" spans="2:4" x14ac:dyDescent="0.2">
      <c r="B1508" s="35"/>
      <c r="C1508" s="35"/>
      <c r="D1508" s="35"/>
    </row>
    <row r="1509" spans="2:4" x14ac:dyDescent="0.2">
      <c r="B1509" s="35"/>
      <c r="C1509" s="35"/>
      <c r="D1509" s="35"/>
    </row>
    <row r="1510" spans="2:4" x14ac:dyDescent="0.2">
      <c r="B1510" s="35"/>
      <c r="C1510" s="35"/>
      <c r="D1510" s="35"/>
    </row>
    <row r="1511" spans="2:4" x14ac:dyDescent="0.2">
      <c r="B1511" s="35"/>
      <c r="C1511" s="35"/>
      <c r="D1511" s="35"/>
    </row>
    <row r="1512" spans="2:4" x14ac:dyDescent="0.2">
      <c r="B1512" s="35"/>
      <c r="C1512" s="35"/>
      <c r="D1512" s="35"/>
    </row>
    <row r="1513" spans="2:4" x14ac:dyDescent="0.2">
      <c r="B1513" s="35"/>
      <c r="C1513" s="35"/>
      <c r="D1513" s="35"/>
    </row>
    <row r="1514" spans="2:4" x14ac:dyDescent="0.2">
      <c r="B1514" s="35"/>
      <c r="C1514" s="35"/>
      <c r="D1514" s="35"/>
    </row>
    <row r="1515" spans="2:4" x14ac:dyDescent="0.2">
      <c r="B1515" s="35"/>
      <c r="C1515" s="35"/>
      <c r="D1515" s="35"/>
    </row>
    <row r="1516" spans="2:4" x14ac:dyDescent="0.2">
      <c r="B1516" s="35"/>
      <c r="C1516" s="35"/>
      <c r="D1516" s="35"/>
    </row>
    <row r="1517" spans="2:4" x14ac:dyDescent="0.2">
      <c r="B1517" s="35"/>
      <c r="C1517" s="35"/>
      <c r="D1517" s="35"/>
    </row>
    <row r="1518" spans="2:4" x14ac:dyDescent="0.2">
      <c r="B1518" s="35"/>
      <c r="C1518" s="35"/>
      <c r="D1518" s="35"/>
    </row>
    <row r="1519" spans="2:4" x14ac:dyDescent="0.2">
      <c r="B1519" s="35"/>
      <c r="C1519" s="35"/>
      <c r="D1519" s="35"/>
    </row>
    <row r="1520" spans="2:4" x14ac:dyDescent="0.2">
      <c r="B1520" s="35"/>
      <c r="C1520" s="35"/>
      <c r="D1520" s="35"/>
    </row>
    <row r="1521" spans="2:4" x14ac:dyDescent="0.2">
      <c r="B1521" s="35"/>
      <c r="C1521" s="35"/>
      <c r="D1521" s="35"/>
    </row>
    <row r="1522" spans="2:4" x14ac:dyDescent="0.2">
      <c r="B1522" s="35"/>
      <c r="C1522" s="35"/>
      <c r="D1522" s="35"/>
    </row>
    <row r="1523" spans="2:4" x14ac:dyDescent="0.2">
      <c r="B1523" s="35"/>
      <c r="C1523" s="35"/>
      <c r="D1523" s="35"/>
    </row>
    <row r="1524" spans="2:4" x14ac:dyDescent="0.2">
      <c r="B1524" s="35"/>
      <c r="C1524" s="35"/>
      <c r="D1524" s="35"/>
    </row>
    <row r="1525" spans="2:4" x14ac:dyDescent="0.2">
      <c r="B1525" s="35"/>
      <c r="C1525" s="35"/>
      <c r="D1525" s="35"/>
    </row>
    <row r="1526" spans="2:4" x14ac:dyDescent="0.2">
      <c r="B1526" s="35"/>
      <c r="C1526" s="35"/>
      <c r="D1526" s="35"/>
    </row>
    <row r="1527" spans="2:4" x14ac:dyDescent="0.2">
      <c r="B1527" s="35"/>
      <c r="C1527" s="35"/>
      <c r="D1527" s="35"/>
    </row>
    <row r="1528" spans="2:4" x14ac:dyDescent="0.2">
      <c r="B1528" s="35"/>
      <c r="C1528" s="35"/>
      <c r="D1528" s="35"/>
    </row>
    <row r="1529" spans="2:4" x14ac:dyDescent="0.2">
      <c r="B1529" s="35"/>
      <c r="C1529" s="35"/>
      <c r="D1529" s="35"/>
    </row>
    <row r="1530" spans="2:4" x14ac:dyDescent="0.2">
      <c r="B1530" s="35"/>
      <c r="C1530" s="35"/>
      <c r="D1530" s="35"/>
    </row>
    <row r="1531" spans="2:4" x14ac:dyDescent="0.2">
      <c r="B1531" s="35"/>
      <c r="C1531" s="35"/>
      <c r="D1531" s="35"/>
    </row>
    <row r="1532" spans="2:4" x14ac:dyDescent="0.2">
      <c r="B1532" s="35"/>
      <c r="C1532" s="35"/>
      <c r="D1532" s="35"/>
    </row>
    <row r="1533" spans="2:4" x14ac:dyDescent="0.2">
      <c r="B1533" s="35"/>
      <c r="C1533" s="35"/>
      <c r="D1533" s="35"/>
    </row>
    <row r="1534" spans="2:4" x14ac:dyDescent="0.2">
      <c r="B1534" s="35"/>
      <c r="C1534" s="35"/>
      <c r="D1534" s="35"/>
    </row>
    <row r="1535" spans="2:4" x14ac:dyDescent="0.2">
      <c r="B1535" s="35"/>
      <c r="C1535" s="35"/>
      <c r="D1535" s="35"/>
    </row>
    <row r="1536" spans="2:4" x14ac:dyDescent="0.2">
      <c r="B1536" s="35"/>
      <c r="C1536" s="35"/>
      <c r="D1536" s="35"/>
    </row>
    <row r="1537" spans="2:4" x14ac:dyDescent="0.2">
      <c r="B1537" s="35"/>
      <c r="C1537" s="35"/>
      <c r="D1537" s="35"/>
    </row>
    <row r="1538" spans="2:4" x14ac:dyDescent="0.2">
      <c r="B1538" s="35"/>
      <c r="C1538" s="35"/>
      <c r="D1538" s="35"/>
    </row>
    <row r="1539" spans="2:4" x14ac:dyDescent="0.2">
      <c r="B1539" s="35"/>
      <c r="C1539" s="35"/>
      <c r="D1539" s="35"/>
    </row>
    <row r="1540" spans="2:4" x14ac:dyDescent="0.2">
      <c r="B1540" s="35"/>
      <c r="C1540" s="35"/>
      <c r="D1540" s="35"/>
    </row>
    <row r="1541" spans="2:4" x14ac:dyDescent="0.2">
      <c r="B1541" s="35"/>
      <c r="C1541" s="35"/>
      <c r="D1541" s="35"/>
    </row>
    <row r="1542" spans="2:4" x14ac:dyDescent="0.2">
      <c r="B1542" s="35"/>
      <c r="C1542" s="35"/>
      <c r="D1542" s="35"/>
    </row>
    <row r="1543" spans="2:4" x14ac:dyDescent="0.2">
      <c r="B1543" s="35"/>
      <c r="C1543" s="35"/>
      <c r="D1543" s="35"/>
    </row>
    <row r="1544" spans="2:4" x14ac:dyDescent="0.2">
      <c r="B1544" s="35"/>
      <c r="C1544" s="35"/>
      <c r="D1544" s="35"/>
    </row>
    <row r="1545" spans="2:4" x14ac:dyDescent="0.2">
      <c r="B1545" s="35"/>
      <c r="C1545" s="35"/>
      <c r="D1545" s="35"/>
    </row>
    <row r="1546" spans="2:4" x14ac:dyDescent="0.2">
      <c r="B1546" s="35"/>
      <c r="C1546" s="35"/>
      <c r="D1546" s="35"/>
    </row>
    <row r="1547" spans="2:4" x14ac:dyDescent="0.2">
      <c r="B1547" s="35"/>
      <c r="C1547" s="35"/>
      <c r="D1547" s="35"/>
    </row>
    <row r="1548" spans="2:4" x14ac:dyDescent="0.2">
      <c r="B1548" s="35"/>
      <c r="C1548" s="35"/>
      <c r="D1548" s="35"/>
    </row>
    <row r="1549" spans="2:4" x14ac:dyDescent="0.2">
      <c r="B1549" s="35"/>
      <c r="C1549" s="35"/>
      <c r="D1549" s="35"/>
    </row>
    <row r="1550" spans="2:4" x14ac:dyDescent="0.2">
      <c r="B1550" s="35"/>
      <c r="C1550" s="35"/>
      <c r="D1550" s="35"/>
    </row>
    <row r="1551" spans="2:4" x14ac:dyDescent="0.2">
      <c r="B1551" s="35"/>
      <c r="C1551" s="35"/>
      <c r="D1551" s="35"/>
    </row>
    <row r="1552" spans="2:4" x14ac:dyDescent="0.2">
      <c r="B1552" s="35"/>
      <c r="C1552" s="35"/>
      <c r="D1552" s="35"/>
    </row>
    <row r="1553" spans="2:4" x14ac:dyDescent="0.2">
      <c r="B1553" s="35"/>
      <c r="C1553" s="35"/>
      <c r="D1553" s="35"/>
    </row>
    <row r="1554" spans="2:4" x14ac:dyDescent="0.2">
      <c r="B1554" s="35"/>
      <c r="C1554" s="35"/>
      <c r="D1554" s="35"/>
    </row>
    <row r="1555" spans="2:4" x14ac:dyDescent="0.2">
      <c r="B1555" s="35"/>
      <c r="C1555" s="35"/>
      <c r="D1555" s="35"/>
    </row>
    <row r="1556" spans="2:4" x14ac:dyDescent="0.2">
      <c r="B1556" s="35"/>
      <c r="C1556" s="35"/>
      <c r="D1556" s="35"/>
    </row>
    <row r="1557" spans="2:4" x14ac:dyDescent="0.2">
      <c r="B1557" s="35"/>
      <c r="C1557" s="35"/>
      <c r="D1557" s="35"/>
    </row>
    <row r="1558" spans="2:4" x14ac:dyDescent="0.2">
      <c r="B1558" s="35"/>
      <c r="C1558" s="35"/>
      <c r="D1558" s="35"/>
    </row>
    <row r="1559" spans="2:4" x14ac:dyDescent="0.2">
      <c r="B1559" s="35"/>
      <c r="C1559" s="35"/>
      <c r="D1559" s="35"/>
    </row>
    <row r="1560" spans="2:4" x14ac:dyDescent="0.2">
      <c r="B1560" s="35"/>
      <c r="C1560" s="35"/>
      <c r="D1560" s="35"/>
    </row>
    <row r="1561" spans="2:4" x14ac:dyDescent="0.2">
      <c r="B1561" s="35"/>
      <c r="C1561" s="35"/>
      <c r="D1561" s="35"/>
    </row>
    <row r="1562" spans="2:4" x14ac:dyDescent="0.2">
      <c r="B1562" s="35"/>
      <c r="C1562" s="35"/>
      <c r="D1562" s="35"/>
    </row>
    <row r="1563" spans="2:4" x14ac:dyDescent="0.2">
      <c r="B1563" s="35"/>
      <c r="C1563" s="35"/>
      <c r="D1563" s="35"/>
    </row>
    <row r="1564" spans="2:4" x14ac:dyDescent="0.2">
      <c r="B1564" s="35"/>
      <c r="C1564" s="35"/>
      <c r="D1564" s="35"/>
    </row>
    <row r="1565" spans="2:4" x14ac:dyDescent="0.2">
      <c r="B1565" s="35"/>
      <c r="C1565" s="35"/>
      <c r="D1565" s="35"/>
    </row>
    <row r="1566" spans="2:4" x14ac:dyDescent="0.2">
      <c r="B1566" s="35"/>
      <c r="C1566" s="35"/>
      <c r="D1566" s="35"/>
    </row>
    <row r="1567" spans="2:4" x14ac:dyDescent="0.2">
      <c r="B1567" s="35"/>
      <c r="C1567" s="35"/>
      <c r="D1567" s="35"/>
    </row>
    <row r="1568" spans="2:4" x14ac:dyDescent="0.2">
      <c r="B1568" s="35"/>
      <c r="C1568" s="35"/>
      <c r="D1568" s="35"/>
    </row>
    <row r="1569" spans="2:4" x14ac:dyDescent="0.2">
      <c r="B1569" s="35"/>
      <c r="C1569" s="35"/>
      <c r="D1569" s="35"/>
    </row>
    <row r="1570" spans="2:4" x14ac:dyDescent="0.2">
      <c r="B1570" s="35"/>
      <c r="C1570" s="35"/>
      <c r="D1570" s="35"/>
    </row>
    <row r="1571" spans="2:4" x14ac:dyDescent="0.2">
      <c r="B1571" s="35"/>
      <c r="C1571" s="35"/>
      <c r="D1571" s="35"/>
    </row>
    <row r="1572" spans="2:4" x14ac:dyDescent="0.2">
      <c r="B1572" s="35"/>
      <c r="C1572" s="35"/>
      <c r="D1572" s="35"/>
    </row>
    <row r="1573" spans="2:4" x14ac:dyDescent="0.2">
      <c r="B1573" s="35"/>
      <c r="C1573" s="35"/>
      <c r="D1573" s="35"/>
    </row>
    <row r="1574" spans="2:4" x14ac:dyDescent="0.2">
      <c r="B1574" s="35"/>
      <c r="C1574" s="35"/>
      <c r="D1574" s="35"/>
    </row>
    <row r="1575" spans="2:4" x14ac:dyDescent="0.2">
      <c r="B1575" s="35"/>
      <c r="C1575" s="35"/>
      <c r="D1575" s="35"/>
    </row>
    <row r="1576" spans="2:4" x14ac:dyDescent="0.2">
      <c r="B1576" s="35"/>
      <c r="C1576" s="35"/>
      <c r="D1576" s="35"/>
    </row>
    <row r="1577" spans="2:4" x14ac:dyDescent="0.2">
      <c r="B1577" s="35"/>
      <c r="C1577" s="35"/>
      <c r="D1577" s="35"/>
    </row>
    <row r="1578" spans="2:4" x14ac:dyDescent="0.2">
      <c r="B1578" s="35"/>
      <c r="C1578" s="35"/>
      <c r="D1578" s="35"/>
    </row>
    <row r="1579" spans="2:4" x14ac:dyDescent="0.2">
      <c r="B1579" s="35"/>
      <c r="C1579" s="35"/>
      <c r="D1579" s="35"/>
    </row>
    <row r="1580" spans="2:4" x14ac:dyDescent="0.2">
      <c r="B1580" s="35"/>
      <c r="C1580" s="35"/>
      <c r="D1580" s="35"/>
    </row>
    <row r="1581" spans="2:4" x14ac:dyDescent="0.2">
      <c r="B1581" s="35"/>
      <c r="C1581" s="35"/>
      <c r="D1581" s="35"/>
    </row>
    <row r="1582" spans="2:4" x14ac:dyDescent="0.2">
      <c r="B1582" s="35"/>
      <c r="C1582" s="35"/>
      <c r="D1582" s="35"/>
    </row>
    <row r="1583" spans="2:4" x14ac:dyDescent="0.2">
      <c r="B1583" s="35"/>
      <c r="C1583" s="35"/>
      <c r="D1583" s="35"/>
    </row>
    <row r="1584" spans="2:4" x14ac:dyDescent="0.2">
      <c r="B1584" s="35"/>
      <c r="C1584" s="35"/>
      <c r="D1584" s="35"/>
    </row>
    <row r="1585" spans="2:4" x14ac:dyDescent="0.2">
      <c r="B1585" s="35"/>
      <c r="C1585" s="35"/>
      <c r="D1585" s="35"/>
    </row>
    <row r="1586" spans="2:4" x14ac:dyDescent="0.2">
      <c r="B1586" s="35"/>
      <c r="C1586" s="35"/>
      <c r="D1586" s="35"/>
    </row>
    <row r="1587" spans="2:4" x14ac:dyDescent="0.2">
      <c r="B1587" s="35"/>
      <c r="C1587" s="35"/>
      <c r="D1587" s="35"/>
    </row>
    <row r="1588" spans="2:4" x14ac:dyDescent="0.2">
      <c r="B1588" s="35"/>
      <c r="C1588" s="35"/>
      <c r="D1588" s="35"/>
    </row>
    <row r="1589" spans="2:4" x14ac:dyDescent="0.2">
      <c r="B1589" s="35"/>
      <c r="C1589" s="35"/>
      <c r="D1589" s="35"/>
    </row>
    <row r="1590" spans="2:4" x14ac:dyDescent="0.2">
      <c r="B1590" s="35"/>
      <c r="C1590" s="35"/>
      <c r="D1590" s="35"/>
    </row>
    <row r="1591" spans="2:4" x14ac:dyDescent="0.2">
      <c r="B1591" s="35"/>
      <c r="C1591" s="35"/>
      <c r="D1591" s="35"/>
    </row>
    <row r="1592" spans="2:4" x14ac:dyDescent="0.2">
      <c r="B1592" s="35"/>
      <c r="C1592" s="35"/>
      <c r="D1592" s="35"/>
    </row>
    <row r="1593" spans="2:4" x14ac:dyDescent="0.2">
      <c r="B1593" s="35"/>
      <c r="C1593" s="35"/>
      <c r="D1593" s="35"/>
    </row>
    <row r="1594" spans="2:4" x14ac:dyDescent="0.2">
      <c r="B1594" s="35"/>
      <c r="C1594" s="35"/>
      <c r="D1594" s="35"/>
    </row>
    <row r="1595" spans="2:4" x14ac:dyDescent="0.2">
      <c r="B1595" s="35"/>
      <c r="C1595" s="35"/>
      <c r="D1595" s="35"/>
    </row>
    <row r="1596" spans="2:4" x14ac:dyDescent="0.2">
      <c r="B1596" s="35"/>
      <c r="C1596" s="35"/>
      <c r="D1596" s="35"/>
    </row>
    <row r="1597" spans="2:4" x14ac:dyDescent="0.2">
      <c r="B1597" s="35"/>
      <c r="C1597" s="35"/>
      <c r="D1597" s="35"/>
    </row>
    <row r="1598" spans="2:4" x14ac:dyDescent="0.2">
      <c r="B1598" s="35"/>
      <c r="C1598" s="35"/>
      <c r="D1598" s="35"/>
    </row>
    <row r="1599" spans="2:4" x14ac:dyDescent="0.2">
      <c r="B1599" s="35"/>
      <c r="C1599" s="35"/>
      <c r="D1599" s="35"/>
    </row>
    <row r="1600" spans="2:4" x14ac:dyDescent="0.2">
      <c r="B1600" s="35"/>
      <c r="C1600" s="35"/>
      <c r="D1600" s="35"/>
    </row>
    <row r="1601" spans="2:4" x14ac:dyDescent="0.2">
      <c r="B1601" s="35"/>
      <c r="C1601" s="35"/>
      <c r="D1601" s="35"/>
    </row>
    <row r="1602" spans="2:4" x14ac:dyDescent="0.2">
      <c r="B1602" s="35"/>
      <c r="C1602" s="35"/>
      <c r="D1602" s="35"/>
    </row>
    <row r="1603" spans="2:4" x14ac:dyDescent="0.2">
      <c r="B1603" s="35"/>
      <c r="C1603" s="35"/>
      <c r="D1603" s="35"/>
    </row>
    <row r="1604" spans="2:4" x14ac:dyDescent="0.2">
      <c r="B1604" s="35"/>
      <c r="C1604" s="35"/>
      <c r="D1604" s="35"/>
    </row>
    <row r="1605" spans="2:4" x14ac:dyDescent="0.2">
      <c r="B1605" s="35"/>
      <c r="C1605" s="35"/>
      <c r="D1605" s="35"/>
    </row>
    <row r="1606" spans="2:4" x14ac:dyDescent="0.2">
      <c r="B1606" s="35"/>
      <c r="C1606" s="35"/>
      <c r="D1606" s="35"/>
    </row>
    <row r="1607" spans="2:4" x14ac:dyDescent="0.2">
      <c r="B1607" s="35"/>
      <c r="C1607" s="35"/>
      <c r="D1607" s="35"/>
    </row>
    <row r="1608" spans="2:4" x14ac:dyDescent="0.2">
      <c r="B1608" s="35"/>
      <c r="C1608" s="35"/>
      <c r="D1608" s="35"/>
    </row>
    <row r="1609" spans="2:4" x14ac:dyDescent="0.2">
      <c r="B1609" s="35"/>
      <c r="C1609" s="35"/>
      <c r="D1609" s="35"/>
    </row>
    <row r="1610" spans="2:4" x14ac:dyDescent="0.2">
      <c r="B1610" s="35"/>
      <c r="C1610" s="35"/>
      <c r="D1610" s="35"/>
    </row>
    <row r="1611" spans="2:4" x14ac:dyDescent="0.2">
      <c r="B1611" s="35"/>
      <c r="C1611" s="35"/>
      <c r="D1611" s="35"/>
    </row>
    <row r="1612" spans="2:4" x14ac:dyDescent="0.2">
      <c r="B1612" s="35"/>
      <c r="C1612" s="35"/>
      <c r="D1612" s="35"/>
    </row>
    <row r="1613" spans="2:4" x14ac:dyDescent="0.2">
      <c r="B1613" s="35"/>
      <c r="C1613" s="35"/>
      <c r="D1613" s="35"/>
    </row>
    <row r="1614" spans="2:4" x14ac:dyDescent="0.2">
      <c r="B1614" s="35"/>
      <c r="C1614" s="35"/>
      <c r="D1614" s="35"/>
    </row>
    <row r="1615" spans="2:4" x14ac:dyDescent="0.2">
      <c r="B1615" s="35"/>
      <c r="C1615" s="35"/>
      <c r="D1615" s="35"/>
    </row>
    <row r="1616" spans="2:4" x14ac:dyDescent="0.2">
      <c r="B1616" s="35"/>
      <c r="C1616" s="35"/>
      <c r="D1616" s="35"/>
    </row>
    <row r="1617" spans="2:4" x14ac:dyDescent="0.2">
      <c r="B1617" s="35"/>
      <c r="C1617" s="35"/>
      <c r="D1617" s="35"/>
    </row>
    <row r="1618" spans="2:4" x14ac:dyDescent="0.2">
      <c r="B1618" s="35"/>
      <c r="C1618" s="35"/>
      <c r="D1618" s="35"/>
    </row>
    <row r="1619" spans="2:4" x14ac:dyDescent="0.2">
      <c r="B1619" s="35"/>
      <c r="C1619" s="35"/>
      <c r="D1619" s="35"/>
    </row>
    <row r="1620" spans="2:4" x14ac:dyDescent="0.2">
      <c r="B1620" s="35"/>
      <c r="C1620" s="35"/>
      <c r="D1620" s="35"/>
    </row>
    <row r="1621" spans="2:4" x14ac:dyDescent="0.2">
      <c r="B1621" s="35"/>
      <c r="C1621" s="35"/>
      <c r="D1621" s="35"/>
    </row>
    <row r="1622" spans="2:4" x14ac:dyDescent="0.2">
      <c r="B1622" s="35"/>
      <c r="C1622" s="35"/>
      <c r="D1622" s="35"/>
    </row>
    <row r="1623" spans="2:4" x14ac:dyDescent="0.2">
      <c r="B1623" s="35"/>
      <c r="C1623" s="35"/>
      <c r="D1623" s="35"/>
    </row>
    <row r="1624" spans="2:4" x14ac:dyDescent="0.2">
      <c r="B1624" s="35"/>
      <c r="C1624" s="35"/>
      <c r="D1624" s="35"/>
    </row>
    <row r="1625" spans="2:4" x14ac:dyDescent="0.2">
      <c r="B1625" s="35"/>
      <c r="C1625" s="35"/>
      <c r="D1625" s="35"/>
    </row>
    <row r="1626" spans="2:4" x14ac:dyDescent="0.2">
      <c r="B1626" s="35"/>
      <c r="C1626" s="35"/>
      <c r="D1626" s="35"/>
    </row>
    <row r="1627" spans="2:4" x14ac:dyDescent="0.2">
      <c r="B1627" s="35"/>
      <c r="C1627" s="35"/>
      <c r="D1627" s="35"/>
    </row>
    <row r="1628" spans="2:4" x14ac:dyDescent="0.2">
      <c r="B1628" s="35"/>
      <c r="C1628" s="35"/>
      <c r="D1628" s="35"/>
    </row>
    <row r="1629" spans="2:4" x14ac:dyDescent="0.2">
      <c r="B1629" s="35"/>
      <c r="C1629" s="35"/>
      <c r="D1629" s="35"/>
    </row>
    <row r="1630" spans="2:4" x14ac:dyDescent="0.2">
      <c r="B1630" s="35"/>
      <c r="C1630" s="35"/>
      <c r="D1630" s="35"/>
    </row>
    <row r="1631" spans="2:4" x14ac:dyDescent="0.2">
      <c r="B1631" s="35"/>
      <c r="C1631" s="35"/>
      <c r="D1631" s="35"/>
    </row>
    <row r="1632" spans="2:4" x14ac:dyDescent="0.2">
      <c r="B1632" s="35"/>
      <c r="C1632" s="35"/>
      <c r="D1632" s="35"/>
    </row>
    <row r="1633" spans="2:4" x14ac:dyDescent="0.2">
      <c r="B1633" s="35"/>
      <c r="C1633" s="35"/>
      <c r="D1633" s="35"/>
    </row>
    <row r="1634" spans="2:4" x14ac:dyDescent="0.2">
      <c r="B1634" s="35"/>
      <c r="C1634" s="35"/>
      <c r="D1634" s="35"/>
    </row>
    <row r="1635" spans="2:4" x14ac:dyDescent="0.2">
      <c r="B1635" s="35"/>
      <c r="C1635" s="35"/>
      <c r="D1635" s="35"/>
    </row>
    <row r="1636" spans="2:4" x14ac:dyDescent="0.2">
      <c r="B1636" s="35"/>
      <c r="C1636" s="35"/>
      <c r="D1636" s="35"/>
    </row>
    <row r="1637" spans="2:4" x14ac:dyDescent="0.2">
      <c r="B1637" s="35"/>
      <c r="C1637" s="35"/>
      <c r="D1637" s="35"/>
    </row>
    <row r="1638" spans="2:4" x14ac:dyDescent="0.2">
      <c r="B1638" s="35"/>
      <c r="C1638" s="35"/>
      <c r="D1638" s="35"/>
    </row>
    <row r="1639" spans="2:4" x14ac:dyDescent="0.2">
      <c r="B1639" s="35"/>
      <c r="C1639" s="35"/>
      <c r="D1639" s="35"/>
    </row>
    <row r="1640" spans="2:4" x14ac:dyDescent="0.2">
      <c r="B1640" s="35"/>
      <c r="C1640" s="35"/>
      <c r="D1640" s="35"/>
    </row>
    <row r="1641" spans="2:4" x14ac:dyDescent="0.2">
      <c r="B1641" s="35"/>
      <c r="C1641" s="35"/>
      <c r="D1641" s="35"/>
    </row>
    <row r="1642" spans="2:4" x14ac:dyDescent="0.2">
      <c r="B1642" s="35"/>
      <c r="C1642" s="35"/>
      <c r="D1642" s="35"/>
    </row>
    <row r="1643" spans="2:4" x14ac:dyDescent="0.2">
      <c r="B1643" s="35"/>
      <c r="C1643" s="35"/>
      <c r="D1643" s="35"/>
    </row>
    <row r="1644" spans="2:4" x14ac:dyDescent="0.2">
      <c r="B1644" s="35"/>
      <c r="C1644" s="35"/>
      <c r="D1644" s="35"/>
    </row>
    <row r="1645" spans="2:4" x14ac:dyDescent="0.2">
      <c r="B1645" s="35"/>
      <c r="C1645" s="35"/>
      <c r="D1645" s="35"/>
    </row>
    <row r="1646" spans="2:4" x14ac:dyDescent="0.2">
      <c r="B1646" s="35"/>
      <c r="C1646" s="35"/>
      <c r="D1646" s="35"/>
    </row>
    <row r="1647" spans="2:4" x14ac:dyDescent="0.2">
      <c r="B1647" s="35"/>
      <c r="C1647" s="35"/>
      <c r="D1647" s="35"/>
    </row>
    <row r="1648" spans="2:4" x14ac:dyDescent="0.2">
      <c r="B1648" s="35"/>
      <c r="C1648" s="35"/>
      <c r="D1648" s="35"/>
    </row>
    <row r="1649" spans="2:4" x14ac:dyDescent="0.2">
      <c r="B1649" s="35"/>
      <c r="C1649" s="35"/>
      <c r="D1649" s="35"/>
    </row>
    <row r="1650" spans="2:4" x14ac:dyDescent="0.2">
      <c r="B1650" s="35"/>
      <c r="C1650" s="35"/>
      <c r="D1650" s="35"/>
    </row>
    <row r="1651" spans="2:4" x14ac:dyDescent="0.2">
      <c r="B1651" s="35"/>
      <c r="C1651" s="35"/>
      <c r="D1651" s="35"/>
    </row>
    <row r="1652" spans="2:4" x14ac:dyDescent="0.2">
      <c r="B1652" s="35"/>
      <c r="C1652" s="35"/>
      <c r="D1652" s="35"/>
    </row>
    <row r="1653" spans="2:4" x14ac:dyDescent="0.2">
      <c r="B1653" s="35"/>
      <c r="C1653" s="35"/>
      <c r="D1653" s="35"/>
    </row>
    <row r="1654" spans="2:4" x14ac:dyDescent="0.2">
      <c r="B1654" s="35"/>
      <c r="C1654" s="35"/>
      <c r="D1654" s="35"/>
    </row>
    <row r="1655" spans="2:4" x14ac:dyDescent="0.2">
      <c r="B1655" s="35"/>
      <c r="C1655" s="35"/>
      <c r="D1655" s="35"/>
    </row>
    <row r="1656" spans="2:4" x14ac:dyDescent="0.2">
      <c r="B1656" s="35"/>
      <c r="C1656" s="35"/>
      <c r="D1656" s="35"/>
    </row>
    <row r="1657" spans="2:4" x14ac:dyDescent="0.2">
      <c r="B1657" s="35"/>
      <c r="C1657" s="35"/>
      <c r="D1657" s="35"/>
    </row>
    <row r="1658" spans="2:4" x14ac:dyDescent="0.2">
      <c r="B1658" s="35"/>
      <c r="C1658" s="35"/>
      <c r="D1658" s="35"/>
    </row>
    <row r="1659" spans="2:4" x14ac:dyDescent="0.2">
      <c r="B1659" s="35"/>
      <c r="C1659" s="35"/>
      <c r="D1659" s="35"/>
    </row>
    <row r="1660" spans="2:4" x14ac:dyDescent="0.2">
      <c r="B1660" s="35"/>
      <c r="C1660" s="35"/>
      <c r="D1660" s="35"/>
    </row>
    <row r="1661" spans="2:4" x14ac:dyDescent="0.2">
      <c r="B1661" s="35"/>
      <c r="C1661" s="35"/>
      <c r="D1661" s="35"/>
    </row>
    <row r="1662" spans="2:4" x14ac:dyDescent="0.2">
      <c r="B1662" s="35"/>
      <c r="C1662" s="35"/>
      <c r="D1662" s="35"/>
    </row>
    <row r="1663" spans="2:4" x14ac:dyDescent="0.2">
      <c r="B1663" s="35"/>
      <c r="C1663" s="35"/>
      <c r="D1663" s="35"/>
    </row>
    <row r="1664" spans="2:4" x14ac:dyDescent="0.2">
      <c r="B1664" s="35"/>
      <c r="C1664" s="35"/>
      <c r="D1664" s="35"/>
    </row>
    <row r="1665" spans="2:4" x14ac:dyDescent="0.2">
      <c r="B1665" s="35"/>
      <c r="C1665" s="35"/>
      <c r="D1665" s="35"/>
    </row>
    <row r="1666" spans="2:4" x14ac:dyDescent="0.2">
      <c r="B1666" s="35"/>
      <c r="C1666" s="35"/>
      <c r="D1666" s="35"/>
    </row>
    <row r="1667" spans="2:4" x14ac:dyDescent="0.2">
      <c r="B1667" s="35"/>
      <c r="C1667" s="35"/>
      <c r="D1667" s="35"/>
    </row>
    <row r="1668" spans="2:4" x14ac:dyDescent="0.2">
      <c r="B1668" s="35"/>
      <c r="C1668" s="35"/>
      <c r="D1668" s="35"/>
    </row>
    <row r="1669" spans="2:4" x14ac:dyDescent="0.2">
      <c r="B1669" s="35"/>
      <c r="C1669" s="35"/>
      <c r="D1669" s="35"/>
    </row>
    <row r="1670" spans="2:4" x14ac:dyDescent="0.2">
      <c r="B1670" s="35"/>
      <c r="C1670" s="35"/>
      <c r="D1670" s="35"/>
    </row>
    <row r="1671" spans="2:4" x14ac:dyDescent="0.2">
      <c r="B1671" s="35"/>
      <c r="C1671" s="35"/>
      <c r="D1671" s="35"/>
    </row>
    <row r="1672" spans="2:4" x14ac:dyDescent="0.2">
      <c r="B1672" s="35"/>
      <c r="C1672" s="35"/>
      <c r="D1672" s="35"/>
    </row>
    <row r="1673" spans="2:4" x14ac:dyDescent="0.2">
      <c r="B1673" s="35"/>
      <c r="C1673" s="35"/>
      <c r="D1673" s="35"/>
    </row>
    <row r="1674" spans="2:4" x14ac:dyDescent="0.2">
      <c r="B1674" s="35"/>
      <c r="C1674" s="35"/>
      <c r="D1674" s="35"/>
    </row>
    <row r="1675" spans="2:4" x14ac:dyDescent="0.2">
      <c r="B1675" s="35"/>
      <c r="C1675" s="35"/>
      <c r="D1675" s="35"/>
    </row>
    <row r="1676" spans="2:4" x14ac:dyDescent="0.2">
      <c r="B1676" s="35"/>
      <c r="C1676" s="35"/>
      <c r="D1676" s="35"/>
    </row>
    <row r="1677" spans="2:4" x14ac:dyDescent="0.2">
      <c r="B1677" s="35"/>
      <c r="C1677" s="35"/>
      <c r="D1677" s="35"/>
    </row>
    <row r="1678" spans="2:4" x14ac:dyDescent="0.2">
      <c r="B1678" s="35"/>
      <c r="C1678" s="35"/>
      <c r="D1678" s="35"/>
    </row>
    <row r="1679" spans="2:4" x14ac:dyDescent="0.2">
      <c r="B1679" s="35"/>
      <c r="C1679" s="35"/>
      <c r="D1679" s="35"/>
    </row>
    <row r="1680" spans="2:4" x14ac:dyDescent="0.2">
      <c r="B1680" s="35"/>
      <c r="C1680" s="35"/>
      <c r="D1680" s="35"/>
    </row>
    <row r="1681" spans="2:4" x14ac:dyDescent="0.2">
      <c r="B1681" s="35"/>
      <c r="C1681" s="35"/>
      <c r="D1681" s="35"/>
    </row>
    <row r="1682" spans="2:4" x14ac:dyDescent="0.2">
      <c r="B1682" s="35"/>
      <c r="C1682" s="35"/>
      <c r="D1682" s="35"/>
    </row>
    <row r="1683" spans="2:4" x14ac:dyDescent="0.2">
      <c r="B1683" s="35"/>
      <c r="C1683" s="35"/>
      <c r="D1683" s="35"/>
    </row>
    <row r="1684" spans="2:4" x14ac:dyDescent="0.2">
      <c r="B1684" s="35"/>
      <c r="C1684" s="35"/>
      <c r="D1684" s="35"/>
    </row>
    <row r="1685" spans="2:4" x14ac:dyDescent="0.2">
      <c r="B1685" s="35"/>
      <c r="C1685" s="35"/>
      <c r="D1685" s="35"/>
    </row>
    <row r="1686" spans="2:4" x14ac:dyDescent="0.2">
      <c r="B1686" s="35"/>
      <c r="C1686" s="35"/>
      <c r="D1686" s="35"/>
    </row>
    <row r="1687" spans="2:4" x14ac:dyDescent="0.2">
      <c r="B1687" s="35"/>
      <c r="C1687" s="35"/>
      <c r="D1687" s="35"/>
    </row>
    <row r="1688" spans="2:4" x14ac:dyDescent="0.2">
      <c r="B1688" s="35"/>
      <c r="C1688" s="35"/>
      <c r="D1688" s="35"/>
    </row>
    <row r="1689" spans="2:4" x14ac:dyDescent="0.2">
      <c r="B1689" s="35"/>
      <c r="C1689" s="35"/>
      <c r="D1689" s="35"/>
    </row>
    <row r="1690" spans="2:4" x14ac:dyDescent="0.2">
      <c r="B1690" s="35"/>
      <c r="C1690" s="35"/>
      <c r="D1690" s="35"/>
    </row>
    <row r="1691" spans="2:4" x14ac:dyDescent="0.2">
      <c r="B1691" s="35"/>
      <c r="C1691" s="35"/>
      <c r="D1691" s="35"/>
    </row>
    <row r="1692" spans="2:4" x14ac:dyDescent="0.2">
      <c r="B1692" s="35"/>
      <c r="C1692" s="35"/>
      <c r="D1692" s="35"/>
    </row>
    <row r="1693" spans="2:4" x14ac:dyDescent="0.2">
      <c r="B1693" s="35"/>
      <c r="C1693" s="35"/>
      <c r="D1693" s="35"/>
    </row>
    <row r="1694" spans="2:4" x14ac:dyDescent="0.2">
      <c r="B1694" s="35"/>
      <c r="C1694" s="35"/>
      <c r="D1694" s="35"/>
    </row>
    <row r="1695" spans="2:4" x14ac:dyDescent="0.2">
      <c r="B1695" s="35"/>
      <c r="C1695" s="35"/>
      <c r="D1695" s="35"/>
    </row>
    <row r="1696" spans="2:4" x14ac:dyDescent="0.2">
      <c r="B1696" s="35"/>
      <c r="C1696" s="35"/>
      <c r="D1696" s="35"/>
    </row>
    <row r="1697" spans="2:4" x14ac:dyDescent="0.2">
      <c r="B1697" s="35"/>
      <c r="C1697" s="35"/>
      <c r="D1697" s="35"/>
    </row>
    <row r="1698" spans="2:4" x14ac:dyDescent="0.2">
      <c r="B1698" s="35"/>
      <c r="C1698" s="35"/>
      <c r="D1698" s="35"/>
    </row>
    <row r="1699" spans="2:4" x14ac:dyDescent="0.2">
      <c r="B1699" s="35"/>
      <c r="C1699" s="35"/>
      <c r="D1699" s="35"/>
    </row>
    <row r="1700" spans="2:4" x14ac:dyDescent="0.2">
      <c r="B1700" s="35"/>
      <c r="C1700" s="35"/>
      <c r="D1700" s="35"/>
    </row>
    <row r="1701" spans="2:4" x14ac:dyDescent="0.2">
      <c r="B1701" s="35"/>
      <c r="C1701" s="35"/>
      <c r="D1701" s="35"/>
    </row>
    <row r="1702" spans="2:4" x14ac:dyDescent="0.2">
      <c r="B1702" s="35"/>
      <c r="C1702" s="35"/>
      <c r="D1702" s="35"/>
    </row>
    <row r="1703" spans="2:4" x14ac:dyDescent="0.2">
      <c r="B1703" s="35"/>
      <c r="C1703" s="35"/>
      <c r="D1703" s="35"/>
    </row>
    <row r="1704" spans="2:4" x14ac:dyDescent="0.2">
      <c r="B1704" s="35"/>
      <c r="C1704" s="35"/>
      <c r="D1704" s="35"/>
    </row>
    <row r="1705" spans="2:4" x14ac:dyDescent="0.2">
      <c r="B1705" s="35"/>
      <c r="C1705" s="35"/>
      <c r="D1705" s="35"/>
    </row>
    <row r="1706" spans="2:4" x14ac:dyDescent="0.2">
      <c r="B1706" s="35"/>
      <c r="C1706" s="35"/>
      <c r="D1706" s="35"/>
    </row>
    <row r="1707" spans="2:4" x14ac:dyDescent="0.2">
      <c r="B1707" s="35"/>
      <c r="C1707" s="35"/>
      <c r="D1707" s="35"/>
    </row>
    <row r="1708" spans="2:4" x14ac:dyDescent="0.2">
      <c r="B1708" s="35"/>
      <c r="C1708" s="35"/>
      <c r="D1708" s="35"/>
    </row>
    <row r="1709" spans="2:4" x14ac:dyDescent="0.2">
      <c r="B1709" s="35"/>
      <c r="C1709" s="35"/>
      <c r="D1709" s="35"/>
    </row>
    <row r="1710" spans="2:4" x14ac:dyDescent="0.2">
      <c r="B1710" s="35"/>
      <c r="C1710" s="35"/>
      <c r="D1710" s="35"/>
    </row>
    <row r="1711" spans="2:4" x14ac:dyDescent="0.2">
      <c r="B1711" s="35"/>
      <c r="C1711" s="35"/>
      <c r="D1711" s="35"/>
    </row>
    <row r="1712" spans="2:4" x14ac:dyDescent="0.2">
      <c r="B1712" s="35"/>
      <c r="C1712" s="35"/>
      <c r="D1712" s="35"/>
    </row>
    <row r="1713" spans="2:4" x14ac:dyDescent="0.2">
      <c r="B1713" s="35"/>
      <c r="C1713" s="35"/>
      <c r="D1713" s="35"/>
    </row>
    <row r="1714" spans="2:4" x14ac:dyDescent="0.2">
      <c r="B1714" s="35"/>
      <c r="C1714" s="35"/>
      <c r="D1714" s="35"/>
    </row>
    <row r="1715" spans="2:4" x14ac:dyDescent="0.2">
      <c r="B1715" s="35"/>
      <c r="C1715" s="35"/>
      <c r="D1715" s="35"/>
    </row>
    <row r="1716" spans="2:4" x14ac:dyDescent="0.2">
      <c r="B1716" s="35"/>
      <c r="C1716" s="35"/>
      <c r="D1716" s="35"/>
    </row>
    <row r="1717" spans="2:4" x14ac:dyDescent="0.2">
      <c r="B1717" s="35"/>
      <c r="C1717" s="35"/>
      <c r="D1717" s="35"/>
    </row>
    <row r="1718" spans="2:4" x14ac:dyDescent="0.2">
      <c r="B1718" s="35"/>
      <c r="C1718" s="35"/>
      <c r="D1718" s="35"/>
    </row>
    <row r="1719" spans="2:4" x14ac:dyDescent="0.2">
      <c r="B1719" s="35"/>
      <c r="C1719" s="35"/>
      <c r="D1719" s="35"/>
    </row>
    <row r="1720" spans="2:4" x14ac:dyDescent="0.2">
      <c r="B1720" s="35"/>
      <c r="C1720" s="35"/>
      <c r="D1720" s="35"/>
    </row>
    <row r="1721" spans="2:4" x14ac:dyDescent="0.2">
      <c r="B1721" s="35"/>
      <c r="C1721" s="35"/>
      <c r="D1721" s="35"/>
    </row>
    <row r="1722" spans="2:4" x14ac:dyDescent="0.2">
      <c r="B1722" s="35"/>
      <c r="C1722" s="35"/>
      <c r="D1722" s="35"/>
    </row>
    <row r="1723" spans="2:4" x14ac:dyDescent="0.2">
      <c r="B1723" s="35"/>
      <c r="C1723" s="35"/>
      <c r="D1723" s="35"/>
    </row>
    <row r="1724" spans="2:4" x14ac:dyDescent="0.2">
      <c r="B1724" s="35"/>
      <c r="C1724" s="35"/>
      <c r="D1724" s="35"/>
    </row>
    <row r="1725" spans="2:4" x14ac:dyDescent="0.2">
      <c r="B1725" s="35"/>
      <c r="C1725" s="35"/>
      <c r="D1725" s="35"/>
    </row>
    <row r="1726" spans="2:4" x14ac:dyDescent="0.2">
      <c r="B1726" s="35"/>
      <c r="C1726" s="35"/>
      <c r="D1726" s="35"/>
    </row>
    <row r="1727" spans="2:4" x14ac:dyDescent="0.2">
      <c r="B1727" s="35"/>
      <c r="C1727" s="35"/>
      <c r="D1727" s="35"/>
    </row>
    <row r="1728" spans="2:4" x14ac:dyDescent="0.2">
      <c r="B1728" s="35"/>
      <c r="C1728" s="35"/>
      <c r="D1728" s="35"/>
    </row>
    <row r="1729" spans="2:4" x14ac:dyDescent="0.2">
      <c r="B1729" s="35"/>
      <c r="C1729" s="35"/>
      <c r="D1729" s="35"/>
    </row>
    <row r="1730" spans="2:4" x14ac:dyDescent="0.2">
      <c r="B1730" s="35"/>
      <c r="C1730" s="35"/>
      <c r="D1730" s="35"/>
    </row>
    <row r="1731" spans="2:4" x14ac:dyDescent="0.2">
      <c r="B1731" s="35"/>
      <c r="C1731" s="35"/>
      <c r="D1731" s="35"/>
    </row>
    <row r="1732" spans="2:4" x14ac:dyDescent="0.2">
      <c r="B1732" s="35"/>
      <c r="C1732" s="35"/>
      <c r="D1732" s="35"/>
    </row>
    <row r="1733" spans="2:4" x14ac:dyDescent="0.2">
      <c r="B1733" s="35"/>
      <c r="C1733" s="35"/>
      <c r="D1733" s="35"/>
    </row>
    <row r="1734" spans="2:4" x14ac:dyDescent="0.2">
      <c r="B1734" s="35"/>
      <c r="C1734" s="35"/>
      <c r="D1734" s="35"/>
    </row>
    <row r="1735" spans="2:4" x14ac:dyDescent="0.2">
      <c r="B1735" s="35"/>
      <c r="C1735" s="35"/>
      <c r="D1735" s="35"/>
    </row>
    <row r="1736" spans="2:4" x14ac:dyDescent="0.2">
      <c r="B1736" s="35"/>
      <c r="C1736" s="35"/>
      <c r="D1736" s="35"/>
    </row>
    <row r="1737" spans="2:4" x14ac:dyDescent="0.2">
      <c r="B1737" s="35"/>
      <c r="C1737" s="35"/>
      <c r="D1737" s="35"/>
    </row>
    <row r="1738" spans="2:4" x14ac:dyDescent="0.2">
      <c r="B1738" s="35"/>
      <c r="C1738" s="35"/>
      <c r="D1738" s="35"/>
    </row>
    <row r="1739" spans="2:4" x14ac:dyDescent="0.2">
      <c r="B1739" s="35"/>
      <c r="C1739" s="35"/>
      <c r="D1739" s="35"/>
    </row>
    <row r="1740" spans="2:4" x14ac:dyDescent="0.2">
      <c r="B1740" s="35"/>
      <c r="C1740" s="35"/>
      <c r="D1740" s="35"/>
    </row>
    <row r="1741" spans="2:4" x14ac:dyDescent="0.2">
      <c r="B1741" s="35"/>
      <c r="C1741" s="35"/>
      <c r="D1741" s="35"/>
    </row>
    <row r="1742" spans="2:4" x14ac:dyDescent="0.2">
      <c r="B1742" s="35"/>
      <c r="C1742" s="35"/>
      <c r="D1742" s="35"/>
    </row>
    <row r="1743" spans="2:4" x14ac:dyDescent="0.2">
      <c r="B1743" s="35"/>
      <c r="C1743" s="35"/>
      <c r="D1743" s="35"/>
    </row>
    <row r="1744" spans="2:4" x14ac:dyDescent="0.2">
      <c r="B1744" s="35"/>
      <c r="C1744" s="35"/>
      <c r="D1744" s="35"/>
    </row>
    <row r="1745" spans="2:4" x14ac:dyDescent="0.2">
      <c r="B1745" s="35"/>
      <c r="C1745" s="35"/>
      <c r="D1745" s="35"/>
    </row>
    <row r="1746" spans="2:4" x14ac:dyDescent="0.2">
      <c r="B1746" s="35"/>
      <c r="C1746" s="35"/>
      <c r="D1746" s="35"/>
    </row>
    <row r="1747" spans="2:4" x14ac:dyDescent="0.2">
      <c r="B1747" s="35"/>
      <c r="C1747" s="35"/>
      <c r="D1747" s="35"/>
    </row>
    <row r="1748" spans="2:4" x14ac:dyDescent="0.2">
      <c r="B1748" s="35"/>
      <c r="C1748" s="35"/>
      <c r="D1748" s="35"/>
    </row>
    <row r="1749" spans="2:4" x14ac:dyDescent="0.2">
      <c r="B1749" s="35"/>
      <c r="C1749" s="35"/>
      <c r="D1749" s="35"/>
    </row>
    <row r="1750" spans="2:4" x14ac:dyDescent="0.2">
      <c r="B1750" s="35"/>
      <c r="C1750" s="35"/>
      <c r="D1750" s="35"/>
    </row>
    <row r="1751" spans="2:4" x14ac:dyDescent="0.2">
      <c r="B1751" s="35"/>
      <c r="C1751" s="35"/>
      <c r="D1751" s="35"/>
    </row>
    <row r="1752" spans="2:4" x14ac:dyDescent="0.2">
      <c r="B1752" s="35"/>
      <c r="C1752" s="35"/>
      <c r="D1752" s="35"/>
    </row>
    <row r="1753" spans="2:4" x14ac:dyDescent="0.2">
      <c r="B1753" s="35"/>
      <c r="C1753" s="35"/>
      <c r="D1753" s="35"/>
    </row>
    <row r="1754" spans="2:4" x14ac:dyDescent="0.2">
      <c r="B1754" s="35"/>
      <c r="C1754" s="35"/>
      <c r="D1754" s="35"/>
    </row>
    <row r="1755" spans="2:4" x14ac:dyDescent="0.2">
      <c r="B1755" s="35"/>
      <c r="C1755" s="35"/>
      <c r="D1755" s="35"/>
    </row>
    <row r="1756" spans="2:4" x14ac:dyDescent="0.2">
      <c r="B1756" s="35"/>
      <c r="C1756" s="35"/>
      <c r="D1756" s="35"/>
    </row>
    <row r="1757" spans="2:4" x14ac:dyDescent="0.2">
      <c r="B1757" s="35"/>
      <c r="C1757" s="35"/>
      <c r="D1757" s="35"/>
    </row>
    <row r="1758" spans="2:4" x14ac:dyDescent="0.2">
      <c r="B1758" s="35"/>
      <c r="C1758" s="35"/>
      <c r="D1758" s="35"/>
    </row>
    <row r="1759" spans="2:4" x14ac:dyDescent="0.2">
      <c r="B1759" s="35"/>
      <c r="C1759" s="35"/>
      <c r="D1759" s="35"/>
    </row>
    <row r="1760" spans="2:4" x14ac:dyDescent="0.2">
      <c r="B1760" s="35"/>
      <c r="C1760" s="35"/>
      <c r="D1760" s="35"/>
    </row>
    <row r="1761" spans="2:4" x14ac:dyDescent="0.2">
      <c r="B1761" s="35"/>
      <c r="C1761" s="35"/>
      <c r="D1761" s="35"/>
    </row>
    <row r="1762" spans="2:4" x14ac:dyDescent="0.2">
      <c r="B1762" s="35"/>
      <c r="C1762" s="35"/>
      <c r="D1762" s="35"/>
    </row>
    <row r="1763" spans="2:4" x14ac:dyDescent="0.2">
      <c r="B1763" s="35"/>
      <c r="C1763" s="35"/>
      <c r="D1763" s="35"/>
    </row>
    <row r="1764" spans="2:4" x14ac:dyDescent="0.2">
      <c r="B1764" s="35"/>
      <c r="C1764" s="35"/>
      <c r="D1764" s="35"/>
    </row>
    <row r="1765" spans="2:4" x14ac:dyDescent="0.2">
      <c r="B1765" s="35"/>
      <c r="C1765" s="35"/>
      <c r="D1765" s="35"/>
    </row>
    <row r="1766" spans="2:4" x14ac:dyDescent="0.2">
      <c r="B1766" s="35"/>
      <c r="C1766" s="35"/>
      <c r="D1766" s="35"/>
    </row>
    <row r="1767" spans="2:4" x14ac:dyDescent="0.2">
      <c r="B1767" s="35"/>
      <c r="C1767" s="35"/>
      <c r="D1767" s="35"/>
    </row>
    <row r="1768" spans="2:4" x14ac:dyDescent="0.2">
      <c r="B1768" s="35"/>
      <c r="C1768" s="35"/>
      <c r="D1768" s="35"/>
    </row>
    <row r="1769" spans="2:4" x14ac:dyDescent="0.2">
      <c r="B1769" s="35"/>
      <c r="C1769" s="35"/>
      <c r="D1769" s="35"/>
    </row>
    <row r="1770" spans="2:4" x14ac:dyDescent="0.2">
      <c r="B1770" s="35"/>
      <c r="C1770" s="35"/>
      <c r="D1770" s="35"/>
    </row>
    <row r="1771" spans="2:4" x14ac:dyDescent="0.2">
      <c r="B1771" s="35"/>
      <c r="C1771" s="35"/>
      <c r="D1771" s="35"/>
    </row>
    <row r="1772" spans="2:4" x14ac:dyDescent="0.2">
      <c r="B1772" s="35"/>
      <c r="C1772" s="35"/>
      <c r="D1772" s="35"/>
    </row>
    <row r="1773" spans="2:4" x14ac:dyDescent="0.2">
      <c r="B1773" s="35"/>
      <c r="C1773" s="35"/>
      <c r="D1773" s="35"/>
    </row>
    <row r="1774" spans="2:4" x14ac:dyDescent="0.2">
      <c r="B1774" s="35"/>
      <c r="C1774" s="35"/>
      <c r="D1774" s="35"/>
    </row>
    <row r="1775" spans="2:4" x14ac:dyDescent="0.2">
      <c r="B1775" s="35"/>
      <c r="C1775" s="35"/>
      <c r="D1775" s="35"/>
    </row>
    <row r="1776" spans="2:4" x14ac:dyDescent="0.2">
      <c r="B1776" s="35"/>
      <c r="C1776" s="35"/>
      <c r="D1776" s="35"/>
    </row>
    <row r="1777" spans="2:4" x14ac:dyDescent="0.2">
      <c r="B1777" s="35"/>
      <c r="C1777" s="35"/>
      <c r="D1777" s="35"/>
    </row>
    <row r="1778" spans="2:4" x14ac:dyDescent="0.2">
      <c r="B1778" s="35"/>
      <c r="C1778" s="35"/>
      <c r="D1778" s="35"/>
    </row>
    <row r="1779" spans="2:4" x14ac:dyDescent="0.2">
      <c r="B1779" s="35"/>
      <c r="C1779" s="35"/>
      <c r="D1779" s="35"/>
    </row>
    <row r="1780" spans="2:4" x14ac:dyDescent="0.2">
      <c r="B1780" s="35"/>
      <c r="C1780" s="35"/>
      <c r="D1780" s="35"/>
    </row>
    <row r="1781" spans="2:4" x14ac:dyDescent="0.2">
      <c r="B1781" s="35"/>
      <c r="C1781" s="35"/>
      <c r="D1781" s="35"/>
    </row>
    <row r="1782" spans="2:4" x14ac:dyDescent="0.2">
      <c r="B1782" s="35"/>
      <c r="C1782" s="35"/>
      <c r="D1782" s="35"/>
    </row>
    <row r="1783" spans="2:4" x14ac:dyDescent="0.2">
      <c r="B1783" s="35"/>
      <c r="C1783" s="35"/>
      <c r="D1783" s="35"/>
    </row>
    <row r="1784" spans="2:4" x14ac:dyDescent="0.2">
      <c r="B1784" s="35"/>
      <c r="C1784" s="35"/>
      <c r="D1784" s="35"/>
    </row>
    <row r="1785" spans="2:4" x14ac:dyDescent="0.2">
      <c r="B1785" s="35"/>
      <c r="C1785" s="35"/>
      <c r="D1785" s="35"/>
    </row>
    <row r="1786" spans="2:4" x14ac:dyDescent="0.2">
      <c r="B1786" s="35"/>
      <c r="C1786" s="35"/>
      <c r="D1786" s="35"/>
    </row>
    <row r="1787" spans="2:4" x14ac:dyDescent="0.2">
      <c r="B1787" s="35"/>
      <c r="C1787" s="35"/>
      <c r="D1787" s="35"/>
    </row>
    <row r="1788" spans="2:4" x14ac:dyDescent="0.2">
      <c r="B1788" s="35"/>
      <c r="C1788" s="35"/>
      <c r="D1788" s="35"/>
    </row>
    <row r="1789" spans="2:4" x14ac:dyDescent="0.2">
      <c r="B1789" s="35"/>
      <c r="C1789" s="35"/>
      <c r="D1789" s="35"/>
    </row>
    <row r="1790" spans="2:4" x14ac:dyDescent="0.2">
      <c r="B1790" s="35"/>
      <c r="C1790" s="35"/>
      <c r="D1790" s="35"/>
    </row>
    <row r="1791" spans="2:4" x14ac:dyDescent="0.2">
      <c r="B1791" s="35"/>
      <c r="C1791" s="35"/>
      <c r="D1791" s="35"/>
    </row>
    <row r="1792" spans="2:4" x14ac:dyDescent="0.2">
      <c r="B1792" s="35"/>
      <c r="C1792" s="35"/>
      <c r="D1792" s="35"/>
    </row>
    <row r="1793" spans="2:4" x14ac:dyDescent="0.2">
      <c r="B1793" s="35"/>
      <c r="C1793" s="35"/>
      <c r="D1793" s="35"/>
    </row>
    <row r="1794" spans="2:4" x14ac:dyDescent="0.2">
      <c r="B1794" s="35"/>
      <c r="C1794" s="35"/>
      <c r="D1794" s="35"/>
    </row>
    <row r="1795" spans="2:4" x14ac:dyDescent="0.2">
      <c r="B1795" s="35"/>
      <c r="C1795" s="35"/>
      <c r="D1795" s="35"/>
    </row>
    <row r="1796" spans="2:4" x14ac:dyDescent="0.2">
      <c r="B1796" s="35"/>
      <c r="C1796" s="35"/>
      <c r="D1796" s="35"/>
    </row>
    <row r="1797" spans="2:4" x14ac:dyDescent="0.2">
      <c r="B1797" s="35"/>
      <c r="C1797" s="35"/>
      <c r="D1797" s="35"/>
    </row>
    <row r="1798" spans="2:4" x14ac:dyDescent="0.2">
      <c r="B1798" s="35"/>
      <c r="C1798" s="35"/>
      <c r="D1798" s="35"/>
    </row>
    <row r="1799" spans="2:4" x14ac:dyDescent="0.2">
      <c r="B1799" s="35"/>
      <c r="C1799" s="35"/>
      <c r="D1799" s="35"/>
    </row>
    <row r="1800" spans="2:4" x14ac:dyDescent="0.2">
      <c r="B1800" s="35"/>
      <c r="C1800" s="35"/>
      <c r="D1800" s="35"/>
    </row>
    <row r="1801" spans="2:4" x14ac:dyDescent="0.2">
      <c r="B1801" s="35"/>
      <c r="C1801" s="35"/>
      <c r="D1801" s="35"/>
    </row>
    <row r="1802" spans="2:4" x14ac:dyDescent="0.2">
      <c r="B1802" s="35"/>
      <c r="C1802" s="35"/>
      <c r="D1802" s="35"/>
    </row>
    <row r="1803" spans="2:4" x14ac:dyDescent="0.2">
      <c r="B1803" s="35"/>
      <c r="C1803" s="35"/>
      <c r="D1803" s="35"/>
    </row>
    <row r="1804" spans="2:4" x14ac:dyDescent="0.2">
      <c r="B1804" s="35"/>
      <c r="C1804" s="35"/>
      <c r="D1804" s="35"/>
    </row>
    <row r="1805" spans="2:4" x14ac:dyDescent="0.2">
      <c r="B1805" s="35"/>
      <c r="C1805" s="35"/>
      <c r="D1805" s="35"/>
    </row>
    <row r="1806" spans="2:4" x14ac:dyDescent="0.2">
      <c r="B1806" s="35"/>
      <c r="C1806" s="35"/>
      <c r="D1806" s="35"/>
    </row>
    <row r="1807" spans="2:4" x14ac:dyDescent="0.2">
      <c r="B1807" s="35"/>
      <c r="C1807" s="35"/>
      <c r="D1807" s="35"/>
    </row>
    <row r="1808" spans="2:4" x14ac:dyDescent="0.2">
      <c r="B1808" s="35"/>
      <c r="C1808" s="35"/>
      <c r="D1808" s="35"/>
    </row>
    <row r="1809" spans="2:4" x14ac:dyDescent="0.2">
      <c r="B1809" s="35"/>
      <c r="C1809" s="35"/>
      <c r="D1809" s="35"/>
    </row>
    <row r="1810" spans="2:4" x14ac:dyDescent="0.2">
      <c r="B1810" s="35"/>
      <c r="C1810" s="35"/>
      <c r="D1810" s="35"/>
    </row>
    <row r="1811" spans="2:4" x14ac:dyDescent="0.2">
      <c r="B1811" s="35"/>
      <c r="C1811" s="35"/>
      <c r="D1811" s="35"/>
    </row>
    <row r="1812" spans="2:4" x14ac:dyDescent="0.2">
      <c r="B1812" s="35"/>
      <c r="C1812" s="35"/>
      <c r="D1812" s="35"/>
    </row>
    <row r="1813" spans="2:4" x14ac:dyDescent="0.2">
      <c r="B1813" s="35"/>
      <c r="C1813" s="35"/>
      <c r="D1813" s="35"/>
    </row>
    <row r="1814" spans="2:4" x14ac:dyDescent="0.2">
      <c r="B1814" s="35"/>
      <c r="C1814" s="35"/>
      <c r="D1814" s="35"/>
    </row>
    <row r="1815" spans="2:4" x14ac:dyDescent="0.2">
      <c r="B1815" s="35"/>
      <c r="C1815" s="35"/>
      <c r="D1815" s="35"/>
    </row>
    <row r="1816" spans="2:4" x14ac:dyDescent="0.2">
      <c r="B1816" s="35"/>
      <c r="C1816" s="35"/>
      <c r="D1816" s="35"/>
    </row>
    <row r="1817" spans="2:4" x14ac:dyDescent="0.2">
      <c r="B1817" s="35"/>
      <c r="C1817" s="35"/>
      <c r="D1817" s="35"/>
    </row>
    <row r="1818" spans="2:4" x14ac:dyDescent="0.2">
      <c r="B1818" s="35"/>
      <c r="C1818" s="35"/>
      <c r="D1818" s="35"/>
    </row>
    <row r="1819" spans="2:4" x14ac:dyDescent="0.2">
      <c r="B1819" s="35"/>
      <c r="C1819" s="35"/>
      <c r="D1819" s="35"/>
    </row>
    <row r="1820" spans="2:4" x14ac:dyDescent="0.2">
      <c r="B1820" s="35"/>
      <c r="C1820" s="35"/>
      <c r="D1820" s="35"/>
    </row>
    <row r="1821" spans="2:4" x14ac:dyDescent="0.2">
      <c r="B1821" s="35"/>
      <c r="C1821" s="35"/>
      <c r="D1821" s="35"/>
    </row>
    <row r="1822" spans="2:4" x14ac:dyDescent="0.2">
      <c r="B1822" s="35"/>
      <c r="C1822" s="35"/>
      <c r="D1822" s="35"/>
    </row>
    <row r="1823" spans="2:4" x14ac:dyDescent="0.2">
      <c r="B1823" s="35"/>
      <c r="C1823" s="35"/>
      <c r="D1823" s="35"/>
    </row>
    <row r="1824" spans="2:4" x14ac:dyDescent="0.2">
      <c r="B1824" s="35"/>
      <c r="C1824" s="35"/>
      <c r="D1824" s="35"/>
    </row>
    <row r="1825" spans="2:4" x14ac:dyDescent="0.2">
      <c r="B1825" s="35"/>
      <c r="C1825" s="35"/>
      <c r="D1825" s="35"/>
    </row>
    <row r="1826" spans="2:4" x14ac:dyDescent="0.2">
      <c r="B1826" s="35"/>
      <c r="C1826" s="35"/>
      <c r="D1826" s="35"/>
    </row>
    <row r="1827" spans="2:4" x14ac:dyDescent="0.2">
      <c r="B1827" s="35"/>
      <c r="C1827" s="35"/>
      <c r="D1827" s="35"/>
    </row>
    <row r="1828" spans="2:4" x14ac:dyDescent="0.2">
      <c r="B1828" s="35"/>
      <c r="C1828" s="35"/>
      <c r="D1828" s="35"/>
    </row>
    <row r="1829" spans="2:4" x14ac:dyDescent="0.2">
      <c r="B1829" s="35"/>
      <c r="C1829" s="35"/>
      <c r="D1829" s="35"/>
    </row>
    <row r="1830" spans="2:4" x14ac:dyDescent="0.2">
      <c r="B1830" s="35"/>
      <c r="C1830" s="35"/>
      <c r="D1830" s="35"/>
    </row>
    <row r="1831" spans="2:4" x14ac:dyDescent="0.2">
      <c r="B1831" s="35"/>
      <c r="C1831" s="35"/>
      <c r="D1831" s="35"/>
    </row>
    <row r="1832" spans="2:4" x14ac:dyDescent="0.2">
      <c r="B1832" s="35"/>
      <c r="C1832" s="35"/>
      <c r="D1832" s="35"/>
    </row>
    <row r="1833" spans="2:4" x14ac:dyDescent="0.2">
      <c r="B1833" s="35"/>
      <c r="C1833" s="35"/>
      <c r="D1833" s="35"/>
    </row>
    <row r="1834" spans="2:4" x14ac:dyDescent="0.2">
      <c r="B1834" s="35"/>
      <c r="C1834" s="35"/>
      <c r="D1834" s="35"/>
    </row>
    <row r="1835" spans="2:4" x14ac:dyDescent="0.2">
      <c r="B1835" s="35"/>
      <c r="C1835" s="35"/>
      <c r="D1835" s="35"/>
    </row>
    <row r="1836" spans="2:4" x14ac:dyDescent="0.2">
      <c r="B1836" s="35"/>
      <c r="C1836" s="35"/>
      <c r="D1836" s="35"/>
    </row>
    <row r="1837" spans="2:4" x14ac:dyDescent="0.2">
      <c r="B1837" s="35"/>
      <c r="C1837" s="35"/>
      <c r="D1837" s="35"/>
    </row>
    <row r="1838" spans="2:4" x14ac:dyDescent="0.2">
      <c r="B1838" s="35"/>
      <c r="C1838" s="35"/>
      <c r="D1838" s="35"/>
    </row>
    <row r="1839" spans="2:4" x14ac:dyDescent="0.2">
      <c r="B1839" s="35"/>
      <c r="C1839" s="35"/>
      <c r="D1839" s="35"/>
    </row>
    <row r="1840" spans="2:4" x14ac:dyDescent="0.2">
      <c r="B1840" s="35"/>
      <c r="C1840" s="35"/>
      <c r="D1840" s="35"/>
    </row>
    <row r="1841" spans="2:4" x14ac:dyDescent="0.2">
      <c r="B1841" s="35"/>
      <c r="C1841" s="35"/>
      <c r="D1841" s="35"/>
    </row>
    <row r="1842" spans="2:4" x14ac:dyDescent="0.2">
      <c r="B1842" s="35"/>
      <c r="C1842" s="35"/>
      <c r="D1842" s="35"/>
    </row>
    <row r="1843" spans="2:4" x14ac:dyDescent="0.2">
      <c r="B1843" s="35"/>
      <c r="C1843" s="35"/>
      <c r="D1843" s="35"/>
    </row>
    <row r="1844" spans="2:4" x14ac:dyDescent="0.2">
      <c r="B1844" s="35"/>
      <c r="C1844" s="35"/>
      <c r="D1844" s="35"/>
    </row>
    <row r="1845" spans="2:4" x14ac:dyDescent="0.2">
      <c r="B1845" s="35"/>
      <c r="C1845" s="35"/>
      <c r="D1845" s="35"/>
    </row>
    <row r="1846" spans="2:4" x14ac:dyDescent="0.2">
      <c r="B1846" s="35"/>
      <c r="C1846" s="35"/>
      <c r="D1846" s="35"/>
    </row>
    <row r="1847" spans="2:4" x14ac:dyDescent="0.2">
      <c r="B1847" s="35"/>
      <c r="C1847" s="35"/>
      <c r="D1847" s="35"/>
    </row>
    <row r="1848" spans="2:4" x14ac:dyDescent="0.2">
      <c r="B1848" s="35"/>
      <c r="C1848" s="35"/>
      <c r="D1848" s="35"/>
    </row>
    <row r="1849" spans="2:4" x14ac:dyDescent="0.2">
      <c r="B1849" s="35"/>
      <c r="C1849" s="35"/>
      <c r="D1849" s="35"/>
    </row>
    <row r="1850" spans="2:4" x14ac:dyDescent="0.2">
      <c r="B1850" s="35"/>
      <c r="C1850" s="35"/>
      <c r="D1850" s="35"/>
    </row>
    <row r="1851" spans="2:4" x14ac:dyDescent="0.2">
      <c r="B1851" s="35"/>
      <c r="C1851" s="35"/>
      <c r="D1851" s="35"/>
    </row>
    <row r="1852" spans="2:4" x14ac:dyDescent="0.2">
      <c r="B1852" s="35"/>
      <c r="C1852" s="35"/>
      <c r="D1852" s="35"/>
    </row>
    <row r="1853" spans="2:4" x14ac:dyDescent="0.2">
      <c r="B1853" s="35"/>
      <c r="C1853" s="35"/>
      <c r="D1853" s="35"/>
    </row>
    <row r="1854" spans="2:4" x14ac:dyDescent="0.2">
      <c r="B1854" s="35"/>
      <c r="C1854" s="35"/>
      <c r="D1854" s="35"/>
    </row>
    <row r="1855" spans="2:4" x14ac:dyDescent="0.2">
      <c r="B1855" s="35"/>
      <c r="C1855" s="35"/>
      <c r="D1855" s="35"/>
    </row>
    <row r="1856" spans="2:4" x14ac:dyDescent="0.2">
      <c r="B1856" s="35"/>
      <c r="C1856" s="35"/>
      <c r="D1856" s="35"/>
    </row>
    <row r="1857" spans="2:4" x14ac:dyDescent="0.2">
      <c r="B1857" s="35"/>
      <c r="C1857" s="35"/>
      <c r="D1857" s="35"/>
    </row>
    <row r="1858" spans="2:4" x14ac:dyDescent="0.2">
      <c r="B1858" s="35"/>
      <c r="C1858" s="35"/>
      <c r="D1858" s="35"/>
    </row>
    <row r="1859" spans="2:4" x14ac:dyDescent="0.2">
      <c r="B1859" s="35"/>
      <c r="C1859" s="35"/>
      <c r="D1859" s="35"/>
    </row>
    <row r="1860" spans="2:4" x14ac:dyDescent="0.2">
      <c r="B1860" s="35"/>
      <c r="C1860" s="35"/>
      <c r="D1860" s="35"/>
    </row>
    <row r="1861" spans="2:4" x14ac:dyDescent="0.2">
      <c r="B1861" s="35"/>
      <c r="C1861" s="35"/>
      <c r="D1861" s="35"/>
    </row>
    <row r="1862" spans="2:4" x14ac:dyDescent="0.2">
      <c r="B1862" s="35"/>
      <c r="C1862" s="35"/>
      <c r="D1862" s="35"/>
    </row>
    <row r="1863" spans="2:4" x14ac:dyDescent="0.2">
      <c r="B1863" s="35"/>
      <c r="C1863" s="35"/>
      <c r="D1863" s="35"/>
    </row>
    <row r="1864" spans="2:4" x14ac:dyDescent="0.2">
      <c r="B1864" s="35"/>
      <c r="C1864" s="35"/>
      <c r="D1864" s="35"/>
    </row>
    <row r="1865" spans="2:4" x14ac:dyDescent="0.2">
      <c r="B1865" s="35"/>
      <c r="C1865" s="35"/>
      <c r="D1865" s="35"/>
    </row>
    <row r="1866" spans="2:4" x14ac:dyDescent="0.2">
      <c r="B1866" s="35"/>
      <c r="C1866" s="35"/>
      <c r="D1866" s="35"/>
    </row>
    <row r="1867" spans="2:4" x14ac:dyDescent="0.2">
      <c r="B1867" s="35"/>
      <c r="C1867" s="35"/>
      <c r="D1867" s="35"/>
    </row>
    <row r="1868" spans="2:4" x14ac:dyDescent="0.2">
      <c r="B1868" s="35"/>
      <c r="C1868" s="35"/>
      <c r="D1868" s="35"/>
    </row>
    <row r="1869" spans="2:4" x14ac:dyDescent="0.2">
      <c r="B1869" s="35"/>
      <c r="C1869" s="35"/>
      <c r="D1869" s="35"/>
    </row>
    <row r="1870" spans="2:4" x14ac:dyDescent="0.2">
      <c r="B1870" s="35"/>
      <c r="C1870" s="35"/>
      <c r="D1870" s="35"/>
    </row>
    <row r="1871" spans="2:4" x14ac:dyDescent="0.2">
      <c r="B1871" s="35"/>
      <c r="C1871" s="35"/>
      <c r="D1871" s="35"/>
    </row>
    <row r="1872" spans="2:4" x14ac:dyDescent="0.2">
      <c r="B1872" s="35"/>
      <c r="C1872" s="35"/>
      <c r="D1872" s="35"/>
    </row>
    <row r="1873" spans="2:4" x14ac:dyDescent="0.2">
      <c r="B1873" s="35"/>
      <c r="C1873" s="35"/>
      <c r="D1873" s="35"/>
    </row>
    <row r="1874" spans="2:4" x14ac:dyDescent="0.2">
      <c r="B1874" s="35"/>
      <c r="C1874" s="35"/>
      <c r="D1874" s="35"/>
    </row>
    <row r="1875" spans="2:4" x14ac:dyDescent="0.2">
      <c r="B1875" s="35"/>
      <c r="C1875" s="35"/>
      <c r="D1875" s="35"/>
    </row>
    <row r="1876" spans="2:4" x14ac:dyDescent="0.2">
      <c r="B1876" s="35"/>
      <c r="C1876" s="35"/>
      <c r="D1876" s="35"/>
    </row>
    <row r="1877" spans="2:4" x14ac:dyDescent="0.2">
      <c r="B1877" s="35"/>
      <c r="C1877" s="35"/>
      <c r="D1877" s="35"/>
    </row>
    <row r="1878" spans="2:4" x14ac:dyDescent="0.2">
      <c r="B1878" s="35"/>
      <c r="C1878" s="35"/>
      <c r="D1878" s="35"/>
    </row>
    <row r="1879" spans="2:4" x14ac:dyDescent="0.2">
      <c r="B1879" s="35"/>
      <c r="C1879" s="35"/>
      <c r="D1879" s="35"/>
    </row>
    <row r="1880" spans="2:4" x14ac:dyDescent="0.2">
      <c r="B1880" s="35"/>
      <c r="C1880" s="35"/>
      <c r="D1880" s="35"/>
    </row>
    <row r="1881" spans="2:4" x14ac:dyDescent="0.2">
      <c r="B1881" s="35"/>
      <c r="C1881" s="35"/>
      <c r="D1881" s="35"/>
    </row>
    <row r="1882" spans="2:4" x14ac:dyDescent="0.2">
      <c r="B1882" s="35"/>
      <c r="C1882" s="35"/>
      <c r="D1882" s="35"/>
    </row>
    <row r="1883" spans="2:4" x14ac:dyDescent="0.2">
      <c r="B1883" s="35"/>
      <c r="C1883" s="35"/>
      <c r="D1883" s="35"/>
    </row>
    <row r="1884" spans="2:4" x14ac:dyDescent="0.2">
      <c r="B1884" s="35"/>
      <c r="C1884" s="35"/>
      <c r="D1884" s="35"/>
    </row>
    <row r="1885" spans="2:4" x14ac:dyDescent="0.2">
      <c r="B1885" s="35"/>
      <c r="C1885" s="35"/>
      <c r="D1885" s="35"/>
    </row>
    <row r="1886" spans="2:4" x14ac:dyDescent="0.2">
      <c r="B1886" s="35"/>
      <c r="C1886" s="35"/>
      <c r="D1886" s="35"/>
    </row>
    <row r="1887" spans="2:4" x14ac:dyDescent="0.2">
      <c r="B1887" s="35"/>
      <c r="C1887" s="35"/>
      <c r="D1887" s="35"/>
    </row>
    <row r="1888" spans="2:4" x14ac:dyDescent="0.2">
      <c r="B1888" s="35"/>
      <c r="C1888" s="35"/>
      <c r="D1888" s="35"/>
    </row>
    <row r="1889" spans="2:4" x14ac:dyDescent="0.2">
      <c r="B1889" s="35"/>
      <c r="C1889" s="35"/>
      <c r="D1889" s="35"/>
    </row>
    <row r="1890" spans="2:4" x14ac:dyDescent="0.2">
      <c r="B1890" s="35"/>
      <c r="C1890" s="35"/>
      <c r="D1890" s="35"/>
    </row>
    <row r="1891" spans="2:4" x14ac:dyDescent="0.2">
      <c r="B1891" s="35"/>
      <c r="C1891" s="35"/>
      <c r="D1891" s="35"/>
    </row>
    <row r="1892" spans="2:4" x14ac:dyDescent="0.2">
      <c r="B1892" s="35"/>
      <c r="C1892" s="35"/>
      <c r="D1892" s="35"/>
    </row>
    <row r="1893" spans="2:4" x14ac:dyDescent="0.2">
      <c r="B1893" s="35"/>
      <c r="C1893" s="35"/>
      <c r="D1893" s="35"/>
    </row>
    <row r="1894" spans="2:4" x14ac:dyDescent="0.2">
      <c r="B1894" s="35"/>
      <c r="C1894" s="35"/>
      <c r="D1894" s="35"/>
    </row>
    <row r="1895" spans="2:4" x14ac:dyDescent="0.2">
      <c r="B1895" s="35"/>
      <c r="C1895" s="35"/>
      <c r="D1895" s="35"/>
    </row>
    <row r="1896" spans="2:4" x14ac:dyDescent="0.2">
      <c r="B1896" s="35"/>
      <c r="C1896" s="35"/>
      <c r="D1896" s="35"/>
    </row>
    <row r="1897" spans="2:4" x14ac:dyDescent="0.2">
      <c r="B1897" s="35"/>
      <c r="C1897" s="35"/>
      <c r="D1897" s="35"/>
    </row>
    <row r="1898" spans="2:4" x14ac:dyDescent="0.2">
      <c r="B1898" s="35"/>
      <c r="C1898" s="35"/>
      <c r="D1898" s="35"/>
    </row>
    <row r="1899" spans="2:4" x14ac:dyDescent="0.2">
      <c r="B1899" s="35"/>
      <c r="C1899" s="35"/>
      <c r="D1899" s="35"/>
    </row>
    <row r="1900" spans="2:4" x14ac:dyDescent="0.2">
      <c r="B1900" s="35"/>
      <c r="C1900" s="35"/>
      <c r="D1900" s="35"/>
    </row>
    <row r="1901" spans="2:4" x14ac:dyDescent="0.2">
      <c r="B1901" s="35"/>
      <c r="C1901" s="35"/>
      <c r="D1901" s="35"/>
    </row>
    <row r="1902" spans="2:4" x14ac:dyDescent="0.2">
      <c r="B1902" s="35"/>
      <c r="C1902" s="35"/>
      <c r="D1902" s="35"/>
    </row>
    <row r="1903" spans="2:4" x14ac:dyDescent="0.2">
      <c r="B1903" s="35"/>
      <c r="C1903" s="35"/>
      <c r="D1903" s="35"/>
    </row>
    <row r="1904" spans="2:4" x14ac:dyDescent="0.2">
      <c r="B1904" s="35"/>
      <c r="C1904" s="35"/>
      <c r="D1904" s="35"/>
    </row>
    <row r="1905" spans="2:4" x14ac:dyDescent="0.2">
      <c r="B1905" s="35"/>
      <c r="C1905" s="35"/>
      <c r="D1905" s="35"/>
    </row>
    <row r="1906" spans="2:4" x14ac:dyDescent="0.2">
      <c r="B1906" s="35"/>
      <c r="C1906" s="35"/>
      <c r="D1906" s="35"/>
    </row>
    <row r="1907" spans="2:4" x14ac:dyDescent="0.2">
      <c r="B1907" s="35"/>
      <c r="C1907" s="35"/>
      <c r="D1907" s="35"/>
    </row>
    <row r="1908" spans="2:4" x14ac:dyDescent="0.2">
      <c r="B1908" s="35"/>
      <c r="C1908" s="35"/>
      <c r="D1908" s="35"/>
    </row>
    <row r="1909" spans="2:4" x14ac:dyDescent="0.2">
      <c r="B1909" s="35"/>
      <c r="C1909" s="35"/>
      <c r="D1909" s="35"/>
    </row>
    <row r="1910" spans="2:4" x14ac:dyDescent="0.2">
      <c r="B1910" s="35"/>
      <c r="C1910" s="35"/>
      <c r="D1910" s="35"/>
    </row>
    <row r="1911" spans="2:4" x14ac:dyDescent="0.2">
      <c r="B1911" s="35"/>
      <c r="C1911" s="35"/>
      <c r="D1911" s="35"/>
    </row>
    <row r="1912" spans="2:4" x14ac:dyDescent="0.2">
      <c r="B1912" s="35"/>
      <c r="C1912" s="35"/>
      <c r="D1912" s="35"/>
    </row>
    <row r="1913" spans="2:4" x14ac:dyDescent="0.2">
      <c r="B1913" s="35"/>
      <c r="C1913" s="35"/>
      <c r="D1913" s="35"/>
    </row>
    <row r="1914" spans="2:4" x14ac:dyDescent="0.2">
      <c r="B1914" s="35"/>
      <c r="C1914" s="35"/>
      <c r="D1914" s="35"/>
    </row>
    <row r="1915" spans="2:4" x14ac:dyDescent="0.2">
      <c r="B1915" s="35"/>
      <c r="C1915" s="35"/>
      <c r="D1915" s="35"/>
    </row>
    <row r="1916" spans="2:4" x14ac:dyDescent="0.2">
      <c r="B1916" s="35"/>
      <c r="C1916" s="35"/>
      <c r="D1916" s="35"/>
    </row>
    <row r="1917" spans="2:4" x14ac:dyDescent="0.2">
      <c r="B1917" s="35"/>
      <c r="C1917" s="35"/>
      <c r="D1917" s="35"/>
    </row>
    <row r="1918" spans="2:4" x14ac:dyDescent="0.2">
      <c r="B1918" s="35"/>
      <c r="C1918" s="35"/>
      <c r="D1918" s="35"/>
    </row>
    <row r="1919" spans="2:4" x14ac:dyDescent="0.2">
      <c r="B1919" s="35"/>
      <c r="C1919" s="35"/>
      <c r="D1919" s="35"/>
    </row>
    <row r="1920" spans="2:4" x14ac:dyDescent="0.2">
      <c r="B1920" s="35"/>
      <c r="C1920" s="35"/>
      <c r="D1920" s="35"/>
    </row>
    <row r="1921" spans="2:4" x14ac:dyDescent="0.2">
      <c r="B1921" s="35"/>
      <c r="C1921" s="35"/>
      <c r="D1921" s="35"/>
    </row>
    <row r="1922" spans="2:4" x14ac:dyDescent="0.2">
      <c r="B1922" s="35"/>
      <c r="C1922" s="35"/>
      <c r="D1922" s="35"/>
    </row>
    <row r="1923" spans="2:4" x14ac:dyDescent="0.2">
      <c r="B1923" s="35"/>
      <c r="C1923" s="35"/>
      <c r="D1923" s="35"/>
    </row>
    <row r="1924" spans="2:4" x14ac:dyDescent="0.2">
      <c r="B1924" s="35"/>
      <c r="C1924" s="35"/>
      <c r="D1924" s="35"/>
    </row>
    <row r="1925" spans="2:4" x14ac:dyDescent="0.2">
      <c r="B1925" s="35"/>
      <c r="C1925" s="35"/>
      <c r="D1925" s="35"/>
    </row>
    <row r="1926" spans="2:4" x14ac:dyDescent="0.2">
      <c r="B1926" s="35"/>
      <c r="C1926" s="35"/>
      <c r="D1926" s="35"/>
    </row>
    <row r="1927" spans="2:4" x14ac:dyDescent="0.2">
      <c r="B1927" s="35"/>
      <c r="C1927" s="35"/>
      <c r="D1927" s="35"/>
    </row>
    <row r="1928" spans="2:4" x14ac:dyDescent="0.2">
      <c r="B1928" s="35"/>
      <c r="C1928" s="35"/>
      <c r="D1928" s="35"/>
    </row>
    <row r="1929" spans="2:4" x14ac:dyDescent="0.2">
      <c r="B1929" s="35"/>
      <c r="C1929" s="35"/>
      <c r="D1929" s="35"/>
    </row>
    <row r="1930" spans="2:4" x14ac:dyDescent="0.2">
      <c r="B1930" s="35"/>
      <c r="C1930" s="35"/>
      <c r="D1930" s="35"/>
    </row>
    <row r="1931" spans="2:4" x14ac:dyDescent="0.2">
      <c r="B1931" s="35"/>
      <c r="C1931" s="35"/>
      <c r="D1931" s="35"/>
    </row>
    <row r="1932" spans="2:4" x14ac:dyDescent="0.2">
      <c r="B1932" s="35"/>
      <c r="C1932" s="35"/>
      <c r="D1932" s="35"/>
    </row>
    <row r="1933" spans="2:4" x14ac:dyDescent="0.2">
      <c r="B1933" s="35"/>
      <c r="C1933" s="35"/>
      <c r="D1933" s="35"/>
    </row>
    <row r="1934" spans="2:4" x14ac:dyDescent="0.2">
      <c r="B1934" s="35"/>
      <c r="C1934" s="35"/>
      <c r="D1934" s="35"/>
    </row>
    <row r="1935" spans="2:4" x14ac:dyDescent="0.2">
      <c r="B1935" s="35"/>
      <c r="C1935" s="35"/>
      <c r="D1935" s="35"/>
    </row>
    <row r="1936" spans="2:4" x14ac:dyDescent="0.2">
      <c r="B1936" s="35"/>
      <c r="C1936" s="35"/>
      <c r="D1936" s="35"/>
    </row>
    <row r="1937" spans="2:4" x14ac:dyDescent="0.2">
      <c r="B1937" s="35"/>
      <c r="C1937" s="35"/>
      <c r="D1937" s="35"/>
    </row>
    <row r="1938" spans="2:4" x14ac:dyDescent="0.2">
      <c r="B1938" s="35"/>
      <c r="C1938" s="35"/>
      <c r="D1938" s="35"/>
    </row>
    <row r="1939" spans="2:4" x14ac:dyDescent="0.2">
      <c r="B1939" s="35"/>
      <c r="C1939" s="35"/>
      <c r="D1939" s="35"/>
    </row>
    <row r="1940" spans="2:4" x14ac:dyDescent="0.2">
      <c r="B1940" s="35"/>
      <c r="C1940" s="35"/>
      <c r="D1940" s="35"/>
    </row>
    <row r="1941" spans="2:4" x14ac:dyDescent="0.2">
      <c r="B1941" s="35"/>
      <c r="C1941" s="35"/>
      <c r="D1941" s="35"/>
    </row>
    <row r="1942" spans="2:4" x14ac:dyDescent="0.2">
      <c r="B1942" s="35"/>
      <c r="C1942" s="35"/>
      <c r="D1942" s="35"/>
    </row>
    <row r="1943" spans="2:4" x14ac:dyDescent="0.2">
      <c r="B1943" s="35"/>
      <c r="C1943" s="35"/>
      <c r="D1943" s="35"/>
    </row>
    <row r="1944" spans="2:4" x14ac:dyDescent="0.2">
      <c r="B1944" s="35"/>
      <c r="C1944" s="35"/>
      <c r="D1944" s="35"/>
    </row>
    <row r="1945" spans="2:4" x14ac:dyDescent="0.2">
      <c r="B1945" s="35"/>
      <c r="C1945" s="35"/>
      <c r="D1945" s="35"/>
    </row>
    <row r="1946" spans="2:4" x14ac:dyDescent="0.2">
      <c r="B1946" s="35"/>
      <c r="C1946" s="35"/>
      <c r="D1946" s="35"/>
    </row>
    <row r="1947" spans="2:4" x14ac:dyDescent="0.2">
      <c r="B1947" s="35"/>
      <c r="C1947" s="35"/>
      <c r="D1947" s="35"/>
    </row>
    <row r="1948" spans="2:4" x14ac:dyDescent="0.2">
      <c r="B1948" s="35"/>
      <c r="C1948" s="35"/>
      <c r="D1948" s="35"/>
    </row>
    <row r="1949" spans="2:4" x14ac:dyDescent="0.2">
      <c r="B1949" s="35"/>
      <c r="C1949" s="35"/>
      <c r="D1949" s="35"/>
    </row>
    <row r="1950" spans="2:4" x14ac:dyDescent="0.2">
      <c r="B1950" s="35"/>
      <c r="C1950" s="35"/>
      <c r="D1950" s="35"/>
    </row>
    <row r="1951" spans="2:4" x14ac:dyDescent="0.2">
      <c r="B1951" s="35"/>
      <c r="C1951" s="35"/>
      <c r="D1951" s="35"/>
    </row>
    <row r="1952" spans="2:4" x14ac:dyDescent="0.2">
      <c r="B1952" s="35"/>
      <c r="C1952" s="35"/>
      <c r="D1952" s="35"/>
    </row>
    <row r="1953" spans="2:4" x14ac:dyDescent="0.2">
      <c r="B1953" s="35"/>
      <c r="C1953" s="35"/>
      <c r="D1953" s="35"/>
    </row>
    <row r="1954" spans="2:4" x14ac:dyDescent="0.2">
      <c r="B1954" s="35"/>
      <c r="C1954" s="35"/>
      <c r="D1954" s="35"/>
    </row>
    <row r="1955" spans="2:4" x14ac:dyDescent="0.2">
      <c r="B1955" s="35"/>
      <c r="C1955" s="35"/>
      <c r="D1955" s="35"/>
    </row>
    <row r="1956" spans="2:4" x14ac:dyDescent="0.2">
      <c r="B1956" s="35"/>
      <c r="C1956" s="35"/>
      <c r="D1956" s="35"/>
    </row>
    <row r="1957" spans="2:4" x14ac:dyDescent="0.2">
      <c r="B1957" s="35"/>
      <c r="C1957" s="35"/>
      <c r="D1957" s="35"/>
    </row>
    <row r="1958" spans="2:4" x14ac:dyDescent="0.2">
      <c r="B1958" s="35"/>
      <c r="C1958" s="35"/>
      <c r="D1958" s="35"/>
    </row>
    <row r="1959" spans="2:4" x14ac:dyDescent="0.2">
      <c r="B1959" s="35"/>
      <c r="C1959" s="35"/>
      <c r="D1959" s="35"/>
    </row>
    <row r="1960" spans="2:4" x14ac:dyDescent="0.2">
      <c r="B1960" s="35"/>
      <c r="C1960" s="35"/>
      <c r="D1960" s="35"/>
    </row>
    <row r="1961" spans="2:4" x14ac:dyDescent="0.2">
      <c r="B1961" s="35"/>
      <c r="C1961" s="35"/>
      <c r="D1961" s="35"/>
    </row>
    <row r="1962" spans="2:4" x14ac:dyDescent="0.2">
      <c r="B1962" s="35"/>
      <c r="C1962" s="35"/>
      <c r="D1962" s="35"/>
    </row>
    <row r="1963" spans="2:4" x14ac:dyDescent="0.2">
      <c r="B1963" s="35"/>
      <c r="C1963" s="35"/>
      <c r="D1963" s="35"/>
    </row>
    <row r="1964" spans="2:4" x14ac:dyDescent="0.2">
      <c r="B1964" s="35"/>
      <c r="C1964" s="35"/>
      <c r="D1964" s="35"/>
    </row>
    <row r="1965" spans="2:4" x14ac:dyDescent="0.2">
      <c r="B1965" s="35"/>
      <c r="C1965" s="35"/>
      <c r="D1965" s="35"/>
    </row>
    <row r="1966" spans="2:4" x14ac:dyDescent="0.2">
      <c r="B1966" s="35"/>
      <c r="C1966" s="35"/>
      <c r="D1966" s="35"/>
    </row>
    <row r="1967" spans="2:4" x14ac:dyDescent="0.2">
      <c r="B1967" s="35"/>
      <c r="C1967" s="35"/>
      <c r="D1967" s="35"/>
    </row>
    <row r="1968" spans="2:4" x14ac:dyDescent="0.2">
      <c r="B1968" s="35"/>
      <c r="C1968" s="35"/>
      <c r="D1968" s="35"/>
    </row>
    <row r="1969" spans="2:4" x14ac:dyDescent="0.2">
      <c r="B1969" s="35"/>
      <c r="C1969" s="35"/>
      <c r="D1969" s="35"/>
    </row>
    <row r="1970" spans="2:4" x14ac:dyDescent="0.2">
      <c r="B1970" s="35"/>
      <c r="C1970" s="35"/>
      <c r="D1970" s="35"/>
    </row>
    <row r="1971" spans="2:4" x14ac:dyDescent="0.2">
      <c r="B1971" s="35"/>
      <c r="C1971" s="35"/>
      <c r="D1971" s="35"/>
    </row>
    <row r="1972" spans="2:4" x14ac:dyDescent="0.2">
      <c r="B1972" s="35"/>
      <c r="C1972" s="35"/>
      <c r="D1972" s="35"/>
    </row>
    <row r="1973" spans="2:4" x14ac:dyDescent="0.2">
      <c r="B1973" s="35"/>
      <c r="C1973" s="35"/>
      <c r="D1973" s="35"/>
    </row>
    <row r="1974" spans="2:4" x14ac:dyDescent="0.2">
      <c r="B1974" s="35"/>
      <c r="C1974" s="35"/>
      <c r="D1974" s="35"/>
    </row>
    <row r="1975" spans="2:4" x14ac:dyDescent="0.2">
      <c r="B1975" s="35"/>
      <c r="C1975" s="35"/>
      <c r="D1975" s="35"/>
    </row>
    <row r="1976" spans="2:4" x14ac:dyDescent="0.2">
      <c r="B1976" s="35"/>
      <c r="C1976" s="35"/>
      <c r="D1976" s="35"/>
    </row>
    <row r="1977" spans="2:4" x14ac:dyDescent="0.2">
      <c r="B1977" s="35"/>
      <c r="C1977" s="35"/>
      <c r="D1977" s="35"/>
    </row>
    <row r="1978" spans="2:4" x14ac:dyDescent="0.2">
      <c r="B1978" s="35"/>
      <c r="C1978" s="35"/>
      <c r="D1978" s="35"/>
    </row>
    <row r="1979" spans="2:4" x14ac:dyDescent="0.2">
      <c r="B1979" s="35"/>
      <c r="C1979" s="35"/>
      <c r="D1979" s="35"/>
    </row>
    <row r="1980" spans="2:4" x14ac:dyDescent="0.2">
      <c r="B1980" s="35"/>
      <c r="C1980" s="35"/>
      <c r="D1980" s="35"/>
    </row>
    <row r="1981" spans="2:4" x14ac:dyDescent="0.2">
      <c r="B1981" s="35"/>
      <c r="C1981" s="35"/>
      <c r="D1981" s="35"/>
    </row>
    <row r="1982" spans="2:4" x14ac:dyDescent="0.2">
      <c r="B1982" s="35"/>
      <c r="C1982" s="35"/>
      <c r="D1982" s="35"/>
    </row>
    <row r="1983" spans="2:4" x14ac:dyDescent="0.2">
      <c r="B1983" s="35"/>
      <c r="C1983" s="35"/>
      <c r="D1983" s="35"/>
    </row>
    <row r="1984" spans="2:4" x14ac:dyDescent="0.2">
      <c r="B1984" s="35"/>
      <c r="C1984" s="35"/>
      <c r="D1984" s="35"/>
    </row>
    <row r="1985" spans="2:4" x14ac:dyDescent="0.2">
      <c r="B1985" s="35"/>
      <c r="C1985" s="35"/>
      <c r="D1985" s="35"/>
    </row>
    <row r="1986" spans="2:4" x14ac:dyDescent="0.2">
      <c r="B1986" s="35"/>
      <c r="C1986" s="35"/>
      <c r="D1986" s="35"/>
    </row>
    <row r="1987" spans="2:4" x14ac:dyDescent="0.2">
      <c r="B1987" s="35"/>
      <c r="C1987" s="35"/>
      <c r="D1987" s="35"/>
    </row>
    <row r="1988" spans="2:4" x14ac:dyDescent="0.2">
      <c r="B1988" s="35"/>
      <c r="C1988" s="35"/>
      <c r="D1988" s="35"/>
    </row>
    <row r="1989" spans="2:4" x14ac:dyDescent="0.2">
      <c r="B1989" s="35"/>
      <c r="C1989" s="35"/>
      <c r="D1989" s="35"/>
    </row>
    <row r="1990" spans="2:4" x14ac:dyDescent="0.2">
      <c r="B1990" s="35"/>
      <c r="C1990" s="35"/>
      <c r="D1990" s="35"/>
    </row>
    <row r="1991" spans="2:4" x14ac:dyDescent="0.2">
      <c r="B1991" s="35"/>
      <c r="C1991" s="35"/>
      <c r="D1991" s="35"/>
    </row>
    <row r="1992" spans="2:4" x14ac:dyDescent="0.2">
      <c r="B1992" s="35"/>
      <c r="C1992" s="35"/>
      <c r="D1992" s="35"/>
    </row>
    <row r="1993" spans="2:4" x14ac:dyDescent="0.2">
      <c r="B1993" s="35"/>
      <c r="C1993" s="35"/>
      <c r="D1993" s="35"/>
    </row>
    <row r="1994" spans="2:4" x14ac:dyDescent="0.2">
      <c r="B1994" s="35"/>
      <c r="C1994" s="35"/>
      <c r="D1994" s="35"/>
    </row>
    <row r="1995" spans="2:4" x14ac:dyDescent="0.2">
      <c r="B1995" s="35"/>
      <c r="C1995" s="35"/>
      <c r="D1995" s="35"/>
    </row>
    <row r="1996" spans="2:4" x14ac:dyDescent="0.2">
      <c r="B1996" s="35"/>
      <c r="C1996" s="35"/>
      <c r="D1996" s="35"/>
    </row>
    <row r="1997" spans="2:4" x14ac:dyDescent="0.2">
      <c r="B1997" s="35"/>
      <c r="C1997" s="35"/>
      <c r="D1997" s="35"/>
    </row>
    <row r="1998" spans="2:4" x14ac:dyDescent="0.2">
      <c r="B1998" s="35"/>
      <c r="C1998" s="35"/>
      <c r="D1998" s="35"/>
    </row>
    <row r="1999" spans="2:4" x14ac:dyDescent="0.2">
      <c r="B1999" s="35"/>
      <c r="C1999" s="35"/>
      <c r="D1999" s="35"/>
    </row>
    <row r="2000" spans="2:4" x14ac:dyDescent="0.2">
      <c r="B2000" s="35"/>
      <c r="C2000" s="35"/>
      <c r="D2000" s="35"/>
    </row>
    <row r="2001" spans="2:4" x14ac:dyDescent="0.2">
      <c r="B2001" s="35"/>
      <c r="C2001" s="35"/>
      <c r="D2001" s="35"/>
    </row>
    <row r="2002" spans="2:4" x14ac:dyDescent="0.2">
      <c r="B2002" s="35"/>
      <c r="C2002" s="35"/>
      <c r="D2002" s="35"/>
    </row>
    <row r="2003" spans="2:4" x14ac:dyDescent="0.2">
      <c r="B2003" s="35"/>
      <c r="C2003" s="35"/>
      <c r="D2003" s="35"/>
    </row>
    <row r="2004" spans="2:4" x14ac:dyDescent="0.2">
      <c r="B2004" s="35"/>
      <c r="C2004" s="35"/>
      <c r="D2004" s="35"/>
    </row>
    <row r="2005" spans="2:4" x14ac:dyDescent="0.2">
      <c r="B2005" s="35"/>
      <c r="C2005" s="35"/>
      <c r="D2005" s="35"/>
    </row>
    <row r="2006" spans="2:4" x14ac:dyDescent="0.2">
      <c r="B2006" s="35"/>
      <c r="C2006" s="35"/>
      <c r="D2006" s="35"/>
    </row>
    <row r="2007" spans="2:4" x14ac:dyDescent="0.2">
      <c r="B2007" s="35"/>
      <c r="C2007" s="35"/>
      <c r="D2007" s="35"/>
    </row>
    <row r="2008" spans="2:4" x14ac:dyDescent="0.2">
      <c r="B2008" s="35"/>
      <c r="C2008" s="35"/>
      <c r="D2008" s="35"/>
    </row>
    <row r="2009" spans="2:4" x14ac:dyDescent="0.2">
      <c r="B2009" s="35"/>
      <c r="C2009" s="35"/>
      <c r="D2009" s="35"/>
    </row>
    <row r="2010" spans="2:4" x14ac:dyDescent="0.2">
      <c r="B2010" s="35"/>
      <c r="C2010" s="35"/>
      <c r="D2010" s="35"/>
    </row>
    <row r="2011" spans="2:4" x14ac:dyDescent="0.2">
      <c r="B2011" s="35"/>
      <c r="C2011" s="35"/>
      <c r="D2011" s="35"/>
    </row>
    <row r="2012" spans="2:4" x14ac:dyDescent="0.2">
      <c r="B2012" s="35"/>
      <c r="C2012" s="35"/>
      <c r="D2012" s="35"/>
    </row>
    <row r="2013" spans="2:4" x14ac:dyDescent="0.2">
      <c r="B2013" s="35"/>
      <c r="C2013" s="35"/>
      <c r="D2013" s="35"/>
    </row>
    <row r="2014" spans="2:4" x14ac:dyDescent="0.2">
      <c r="B2014" s="35"/>
      <c r="C2014" s="35"/>
      <c r="D2014" s="35"/>
    </row>
    <row r="2015" spans="2:4" x14ac:dyDescent="0.2">
      <c r="B2015" s="35"/>
      <c r="C2015" s="35"/>
      <c r="D2015" s="35"/>
    </row>
    <row r="2016" spans="2:4" x14ac:dyDescent="0.2">
      <c r="B2016" s="35"/>
      <c r="C2016" s="35"/>
      <c r="D2016" s="35"/>
    </row>
    <row r="2017" spans="2:4" x14ac:dyDescent="0.2">
      <c r="B2017" s="35"/>
      <c r="C2017" s="35"/>
      <c r="D2017" s="35"/>
    </row>
    <row r="2018" spans="2:4" x14ac:dyDescent="0.2">
      <c r="B2018" s="35"/>
      <c r="C2018" s="35"/>
      <c r="D2018" s="35"/>
    </row>
    <row r="2019" spans="2:4" x14ac:dyDescent="0.2">
      <c r="B2019" s="35"/>
      <c r="C2019" s="35"/>
      <c r="D2019" s="35"/>
    </row>
    <row r="2020" spans="2:4" x14ac:dyDescent="0.2">
      <c r="B2020" s="35"/>
      <c r="C2020" s="35"/>
      <c r="D2020" s="35"/>
    </row>
    <row r="2021" spans="2:4" x14ac:dyDescent="0.2">
      <c r="B2021" s="35"/>
      <c r="C2021" s="35"/>
      <c r="D2021" s="35"/>
    </row>
    <row r="2022" spans="2:4" x14ac:dyDescent="0.2">
      <c r="B2022" s="35"/>
      <c r="C2022" s="35"/>
      <c r="D2022" s="35"/>
    </row>
    <row r="2023" spans="2:4" x14ac:dyDescent="0.2">
      <c r="B2023" s="35"/>
      <c r="C2023" s="35"/>
      <c r="D2023" s="35"/>
    </row>
    <row r="2024" spans="2:4" x14ac:dyDescent="0.2">
      <c r="B2024" s="35"/>
      <c r="C2024" s="35"/>
      <c r="D2024" s="35"/>
    </row>
    <row r="2025" spans="2:4" x14ac:dyDescent="0.2">
      <c r="B2025" s="35"/>
      <c r="C2025" s="35"/>
      <c r="D2025" s="35"/>
    </row>
    <row r="2026" spans="2:4" x14ac:dyDescent="0.2">
      <c r="B2026" s="35"/>
      <c r="C2026" s="35"/>
      <c r="D2026" s="35"/>
    </row>
    <row r="2027" spans="2:4" x14ac:dyDescent="0.2">
      <c r="B2027" s="35"/>
      <c r="C2027" s="35"/>
      <c r="D2027" s="35"/>
    </row>
    <row r="2028" spans="2:4" x14ac:dyDescent="0.2">
      <c r="B2028" s="35"/>
      <c r="C2028" s="35"/>
      <c r="D2028" s="35"/>
    </row>
    <row r="2029" spans="2:4" x14ac:dyDescent="0.2">
      <c r="B2029" s="35"/>
      <c r="C2029" s="35"/>
      <c r="D2029" s="35"/>
    </row>
    <row r="2030" spans="2:4" x14ac:dyDescent="0.2">
      <c r="B2030" s="35"/>
      <c r="C2030" s="35"/>
      <c r="D2030" s="35"/>
    </row>
    <row r="2031" spans="2:4" x14ac:dyDescent="0.2">
      <c r="B2031" s="35"/>
      <c r="C2031" s="35"/>
      <c r="D2031" s="35"/>
    </row>
    <row r="2032" spans="2:4" x14ac:dyDescent="0.2">
      <c r="B2032" s="35"/>
      <c r="C2032" s="35"/>
      <c r="D2032" s="35"/>
    </row>
    <row r="2033" spans="2:4" x14ac:dyDescent="0.2">
      <c r="B2033" s="35"/>
      <c r="C2033" s="35"/>
      <c r="D2033" s="35"/>
    </row>
    <row r="2034" spans="2:4" x14ac:dyDescent="0.2">
      <c r="B2034" s="35"/>
      <c r="C2034" s="35"/>
      <c r="D2034" s="35"/>
    </row>
    <row r="2035" spans="2:4" x14ac:dyDescent="0.2">
      <c r="B2035" s="35"/>
      <c r="C2035" s="35"/>
      <c r="D2035" s="35"/>
    </row>
    <row r="2036" spans="2:4" x14ac:dyDescent="0.2">
      <c r="B2036" s="35"/>
      <c r="C2036" s="35"/>
      <c r="D2036" s="35"/>
    </row>
    <row r="2037" spans="2:4" x14ac:dyDescent="0.2">
      <c r="B2037" s="35"/>
      <c r="C2037" s="35"/>
      <c r="D2037" s="35"/>
    </row>
    <row r="2038" spans="2:4" x14ac:dyDescent="0.2">
      <c r="B2038" s="35"/>
      <c r="C2038" s="35"/>
      <c r="D2038" s="35"/>
    </row>
    <row r="2039" spans="2:4" x14ac:dyDescent="0.2">
      <c r="B2039" s="35"/>
      <c r="C2039" s="35"/>
      <c r="D2039" s="35"/>
    </row>
    <row r="2040" spans="2:4" x14ac:dyDescent="0.2">
      <c r="B2040" s="35"/>
      <c r="C2040" s="35"/>
      <c r="D2040" s="35"/>
    </row>
    <row r="2041" spans="2:4" x14ac:dyDescent="0.2">
      <c r="B2041" s="35"/>
      <c r="C2041" s="35"/>
      <c r="D2041" s="35"/>
    </row>
    <row r="2042" spans="2:4" x14ac:dyDescent="0.2">
      <c r="B2042" s="35"/>
      <c r="C2042" s="35"/>
      <c r="D2042" s="35"/>
    </row>
    <row r="2043" spans="2:4" x14ac:dyDescent="0.2">
      <c r="B2043" s="35"/>
      <c r="C2043" s="35"/>
      <c r="D2043" s="35"/>
    </row>
    <row r="2044" spans="2:4" x14ac:dyDescent="0.2">
      <c r="B2044" s="35"/>
      <c r="C2044" s="35"/>
      <c r="D2044" s="35"/>
    </row>
    <row r="2045" spans="2:4" x14ac:dyDescent="0.2">
      <c r="B2045" s="35"/>
      <c r="C2045" s="35"/>
      <c r="D2045" s="35"/>
    </row>
    <row r="2046" spans="2:4" x14ac:dyDescent="0.2">
      <c r="B2046" s="35"/>
      <c r="C2046" s="35"/>
      <c r="D2046" s="35"/>
    </row>
    <row r="2047" spans="2:4" x14ac:dyDescent="0.2">
      <c r="B2047" s="35"/>
      <c r="C2047" s="35"/>
      <c r="D2047" s="35"/>
    </row>
    <row r="2048" spans="2:4" x14ac:dyDescent="0.2">
      <c r="B2048" s="35"/>
      <c r="C2048" s="35"/>
      <c r="D2048" s="35"/>
    </row>
    <row r="2049" spans="2:4" x14ac:dyDescent="0.2">
      <c r="B2049" s="35"/>
      <c r="C2049" s="35"/>
      <c r="D2049" s="35"/>
    </row>
    <row r="2050" spans="2:4" x14ac:dyDescent="0.2">
      <c r="B2050" s="35"/>
      <c r="C2050" s="35"/>
      <c r="D2050" s="35"/>
    </row>
    <row r="2051" spans="2:4" x14ac:dyDescent="0.2">
      <c r="B2051" s="35"/>
      <c r="C2051" s="35"/>
      <c r="D2051" s="35"/>
    </row>
    <row r="2052" spans="2:4" x14ac:dyDescent="0.2">
      <c r="B2052" s="35"/>
      <c r="C2052" s="35"/>
      <c r="D2052" s="35"/>
    </row>
    <row r="2053" spans="2:4" x14ac:dyDescent="0.2">
      <c r="B2053" s="35"/>
      <c r="C2053" s="35"/>
      <c r="D2053" s="35"/>
    </row>
    <row r="2054" spans="2:4" x14ac:dyDescent="0.2">
      <c r="B2054" s="35"/>
      <c r="C2054" s="35"/>
      <c r="D2054" s="35"/>
    </row>
    <row r="2055" spans="2:4" x14ac:dyDescent="0.2">
      <c r="B2055" s="35"/>
      <c r="C2055" s="35"/>
      <c r="D2055" s="35"/>
    </row>
    <row r="2056" spans="2:4" x14ac:dyDescent="0.2">
      <c r="B2056" s="35"/>
      <c r="C2056" s="35"/>
      <c r="D2056" s="35"/>
    </row>
    <row r="2057" spans="2:4" x14ac:dyDescent="0.2">
      <c r="B2057" s="35"/>
      <c r="C2057" s="35"/>
      <c r="D2057" s="35"/>
    </row>
    <row r="2058" spans="2:4" x14ac:dyDescent="0.2">
      <c r="B2058" s="35"/>
      <c r="C2058" s="35"/>
      <c r="D2058" s="35"/>
    </row>
    <row r="2059" spans="2:4" x14ac:dyDescent="0.2">
      <c r="B2059" s="35"/>
      <c r="C2059" s="35"/>
      <c r="D2059" s="35"/>
    </row>
    <row r="2060" spans="2:4" x14ac:dyDescent="0.2">
      <c r="B2060" s="35"/>
      <c r="C2060" s="35"/>
      <c r="D2060" s="35"/>
    </row>
    <row r="2061" spans="2:4" x14ac:dyDescent="0.2">
      <c r="B2061" s="35"/>
      <c r="C2061" s="35"/>
      <c r="D2061" s="35"/>
    </row>
    <row r="2062" spans="2:4" x14ac:dyDescent="0.2">
      <c r="B2062" s="35"/>
      <c r="C2062" s="35"/>
      <c r="D2062" s="35"/>
    </row>
    <row r="2063" spans="2:4" x14ac:dyDescent="0.2">
      <c r="B2063" s="35"/>
      <c r="C2063" s="35"/>
      <c r="D2063" s="35"/>
    </row>
    <row r="2064" spans="2:4" x14ac:dyDescent="0.2">
      <c r="B2064" s="35"/>
      <c r="C2064" s="35"/>
      <c r="D2064" s="35"/>
    </row>
    <row r="2065" spans="2:4" x14ac:dyDescent="0.2">
      <c r="B2065" s="35"/>
      <c r="C2065" s="35"/>
      <c r="D2065" s="35"/>
    </row>
    <row r="2066" spans="2:4" x14ac:dyDescent="0.2">
      <c r="B2066" s="35"/>
      <c r="C2066" s="35"/>
      <c r="D2066" s="35"/>
    </row>
    <row r="2067" spans="2:4" x14ac:dyDescent="0.2">
      <c r="B2067" s="35"/>
      <c r="C2067" s="35"/>
      <c r="D2067" s="35"/>
    </row>
    <row r="2068" spans="2:4" x14ac:dyDescent="0.2">
      <c r="B2068" s="35"/>
      <c r="C2068" s="35"/>
      <c r="D2068" s="35"/>
    </row>
    <row r="2069" spans="2:4" x14ac:dyDescent="0.2">
      <c r="B2069" s="35"/>
      <c r="C2069" s="35"/>
      <c r="D2069" s="35"/>
    </row>
    <row r="2070" spans="2:4" x14ac:dyDescent="0.2">
      <c r="B2070" s="35"/>
      <c r="C2070" s="35"/>
      <c r="D2070" s="35"/>
    </row>
    <row r="2071" spans="2:4" x14ac:dyDescent="0.2">
      <c r="B2071" s="35"/>
      <c r="C2071" s="35"/>
      <c r="D2071" s="35"/>
    </row>
    <row r="2072" spans="2:4" x14ac:dyDescent="0.2">
      <c r="B2072" s="35"/>
      <c r="C2072" s="35"/>
      <c r="D2072" s="35"/>
    </row>
    <row r="2073" spans="2:4" x14ac:dyDescent="0.2">
      <c r="B2073" s="35"/>
      <c r="C2073" s="35"/>
      <c r="D2073" s="35"/>
    </row>
    <row r="2074" spans="2:4" x14ac:dyDescent="0.2">
      <c r="B2074" s="35"/>
      <c r="C2074" s="35"/>
      <c r="D2074" s="35"/>
    </row>
    <row r="2075" spans="2:4" x14ac:dyDescent="0.2">
      <c r="B2075" s="35"/>
      <c r="C2075" s="35"/>
      <c r="D2075" s="35"/>
    </row>
    <row r="2076" spans="2:4" x14ac:dyDescent="0.2">
      <c r="B2076" s="35"/>
      <c r="C2076" s="35"/>
      <c r="D2076" s="35"/>
    </row>
    <row r="2077" spans="2:4" x14ac:dyDescent="0.2">
      <c r="B2077" s="35"/>
      <c r="C2077" s="35"/>
      <c r="D2077" s="35"/>
    </row>
    <row r="2078" spans="2:4" x14ac:dyDescent="0.2">
      <c r="B2078" s="35"/>
      <c r="C2078" s="35"/>
      <c r="D2078" s="35"/>
    </row>
    <row r="2079" spans="2:4" x14ac:dyDescent="0.2">
      <c r="B2079" s="35"/>
      <c r="C2079" s="35"/>
      <c r="D2079" s="35"/>
    </row>
    <row r="2080" spans="2:4" x14ac:dyDescent="0.2">
      <c r="B2080" s="35"/>
      <c r="C2080" s="35"/>
      <c r="D2080" s="35"/>
    </row>
    <row r="2081" spans="2:4" x14ac:dyDescent="0.2">
      <c r="B2081" s="35"/>
      <c r="C2081" s="35"/>
      <c r="D2081" s="35"/>
    </row>
    <row r="2082" spans="2:4" x14ac:dyDescent="0.2">
      <c r="B2082" s="35"/>
      <c r="C2082" s="35"/>
      <c r="D2082" s="35"/>
    </row>
    <row r="2083" spans="2:4" x14ac:dyDescent="0.2">
      <c r="B2083" s="35"/>
      <c r="C2083" s="35"/>
      <c r="D2083" s="35"/>
    </row>
    <row r="2084" spans="2:4" x14ac:dyDescent="0.2">
      <c r="B2084" s="35"/>
      <c r="C2084" s="35"/>
      <c r="D2084" s="35"/>
    </row>
    <row r="2085" spans="2:4" x14ac:dyDescent="0.2">
      <c r="B2085" s="35"/>
      <c r="C2085" s="35"/>
      <c r="D2085" s="35"/>
    </row>
    <row r="2086" spans="2:4" x14ac:dyDescent="0.2">
      <c r="B2086" s="35"/>
      <c r="C2086" s="35"/>
      <c r="D2086" s="35"/>
    </row>
    <row r="2087" spans="2:4" x14ac:dyDescent="0.2">
      <c r="B2087" s="35"/>
      <c r="C2087" s="35"/>
      <c r="D2087" s="35"/>
    </row>
    <row r="2088" spans="2:4" x14ac:dyDescent="0.2">
      <c r="B2088" s="35"/>
      <c r="C2088" s="35"/>
      <c r="D2088" s="35"/>
    </row>
    <row r="2089" spans="2:4" x14ac:dyDescent="0.2">
      <c r="B2089" s="35"/>
      <c r="C2089" s="35"/>
      <c r="D2089" s="35"/>
    </row>
    <row r="2090" spans="2:4" x14ac:dyDescent="0.2">
      <c r="B2090" s="35"/>
      <c r="C2090" s="35"/>
      <c r="D2090" s="35"/>
    </row>
    <row r="2091" spans="2:4" x14ac:dyDescent="0.2">
      <c r="B2091" s="35"/>
      <c r="C2091" s="35"/>
      <c r="D2091" s="35"/>
    </row>
    <row r="2092" spans="2:4" x14ac:dyDescent="0.2">
      <c r="B2092" s="35"/>
      <c r="C2092" s="35"/>
      <c r="D2092" s="35"/>
    </row>
    <row r="2093" spans="2:4" x14ac:dyDescent="0.2">
      <c r="B2093" s="35"/>
      <c r="C2093" s="35"/>
      <c r="D2093" s="35"/>
    </row>
    <row r="2094" spans="2:4" x14ac:dyDescent="0.2">
      <c r="B2094" s="35"/>
      <c r="C2094" s="35"/>
      <c r="D2094" s="35"/>
    </row>
    <row r="2095" spans="2:4" x14ac:dyDescent="0.2">
      <c r="B2095" s="35"/>
      <c r="C2095" s="35"/>
      <c r="D2095" s="35"/>
    </row>
    <row r="2096" spans="2:4" x14ac:dyDescent="0.2">
      <c r="B2096" s="35"/>
      <c r="C2096" s="35"/>
      <c r="D2096" s="35"/>
    </row>
    <row r="2097" spans="2:4" x14ac:dyDescent="0.2">
      <c r="B2097" s="35"/>
      <c r="C2097" s="35"/>
      <c r="D2097" s="35"/>
    </row>
    <row r="2098" spans="2:4" x14ac:dyDescent="0.2">
      <c r="B2098" s="35"/>
      <c r="C2098" s="35"/>
      <c r="D2098" s="35"/>
    </row>
    <row r="2099" spans="2:4" x14ac:dyDescent="0.2">
      <c r="B2099" s="35"/>
      <c r="C2099" s="35"/>
      <c r="D2099" s="35"/>
    </row>
    <row r="2100" spans="2:4" x14ac:dyDescent="0.2">
      <c r="B2100" s="35"/>
      <c r="C2100" s="35"/>
      <c r="D2100" s="35"/>
    </row>
    <row r="2101" spans="2:4" x14ac:dyDescent="0.2">
      <c r="B2101" s="35"/>
      <c r="C2101" s="35"/>
      <c r="D2101" s="35"/>
    </row>
    <row r="2102" spans="2:4" x14ac:dyDescent="0.2">
      <c r="B2102" s="35"/>
      <c r="C2102" s="35"/>
      <c r="D2102" s="35"/>
    </row>
    <row r="2103" spans="2:4" x14ac:dyDescent="0.2">
      <c r="B2103" s="35"/>
      <c r="C2103" s="35"/>
      <c r="D2103" s="35"/>
    </row>
    <row r="2104" spans="2:4" x14ac:dyDescent="0.2">
      <c r="B2104" s="35"/>
      <c r="C2104" s="35"/>
      <c r="D2104" s="35"/>
    </row>
    <row r="2105" spans="2:4" x14ac:dyDescent="0.2">
      <c r="B2105" s="35"/>
      <c r="C2105" s="35"/>
      <c r="D2105" s="35"/>
    </row>
    <row r="2106" spans="2:4" x14ac:dyDescent="0.2">
      <c r="B2106" s="35"/>
      <c r="C2106" s="35"/>
      <c r="D2106" s="35"/>
    </row>
    <row r="2107" spans="2:4" x14ac:dyDescent="0.2">
      <c r="B2107" s="35"/>
      <c r="C2107" s="35"/>
      <c r="D2107" s="35"/>
    </row>
    <row r="2108" spans="2:4" x14ac:dyDescent="0.2">
      <c r="B2108" s="35"/>
      <c r="C2108" s="35"/>
      <c r="D2108" s="35"/>
    </row>
    <row r="2109" spans="2:4" x14ac:dyDescent="0.2">
      <c r="B2109" s="35"/>
      <c r="C2109" s="35"/>
      <c r="D2109" s="35"/>
    </row>
    <row r="2110" spans="2:4" x14ac:dyDescent="0.2">
      <c r="B2110" s="35"/>
      <c r="C2110" s="35"/>
      <c r="D2110" s="35"/>
    </row>
    <row r="2111" spans="2:4" x14ac:dyDescent="0.2">
      <c r="B2111" s="35"/>
      <c r="C2111" s="35"/>
      <c r="D2111" s="35"/>
    </row>
    <row r="2112" spans="2:4" x14ac:dyDescent="0.2">
      <c r="B2112" s="35"/>
      <c r="C2112" s="35"/>
      <c r="D2112" s="35"/>
    </row>
    <row r="2113" spans="2:4" x14ac:dyDescent="0.2">
      <c r="B2113" s="35"/>
      <c r="C2113" s="35"/>
      <c r="D2113" s="35"/>
    </row>
    <row r="2114" spans="2:4" x14ac:dyDescent="0.2">
      <c r="B2114" s="35"/>
      <c r="C2114" s="35"/>
      <c r="D2114" s="35"/>
    </row>
    <row r="2115" spans="2:4" x14ac:dyDescent="0.2">
      <c r="B2115" s="35"/>
      <c r="C2115" s="35"/>
      <c r="D2115" s="35"/>
    </row>
    <row r="2116" spans="2:4" x14ac:dyDescent="0.2">
      <c r="B2116" s="35"/>
      <c r="C2116" s="35"/>
      <c r="D2116" s="35"/>
    </row>
    <row r="2117" spans="2:4" x14ac:dyDescent="0.2">
      <c r="B2117" s="35"/>
      <c r="C2117" s="35"/>
      <c r="D2117" s="35"/>
    </row>
    <row r="2118" spans="2:4" x14ac:dyDescent="0.2">
      <c r="B2118" s="35"/>
      <c r="C2118" s="35"/>
      <c r="D2118" s="35"/>
    </row>
    <row r="2119" spans="2:4" x14ac:dyDescent="0.2">
      <c r="B2119" s="35"/>
      <c r="C2119" s="35"/>
      <c r="D2119" s="35"/>
    </row>
    <row r="2120" spans="2:4" x14ac:dyDescent="0.2">
      <c r="B2120" s="35"/>
      <c r="C2120" s="35"/>
      <c r="D2120" s="35"/>
    </row>
    <row r="2121" spans="2:4" x14ac:dyDescent="0.2">
      <c r="B2121" s="35"/>
      <c r="C2121" s="35"/>
      <c r="D2121" s="35"/>
    </row>
    <row r="2122" spans="2:4" x14ac:dyDescent="0.2">
      <c r="B2122" s="35"/>
      <c r="C2122" s="35"/>
      <c r="D2122" s="35"/>
    </row>
    <row r="2123" spans="2:4" x14ac:dyDescent="0.2">
      <c r="B2123" s="35"/>
      <c r="C2123" s="35"/>
      <c r="D2123" s="35"/>
    </row>
    <row r="2124" spans="2:4" x14ac:dyDescent="0.2">
      <c r="B2124" s="35"/>
      <c r="C2124" s="35"/>
      <c r="D2124" s="35"/>
    </row>
    <row r="2125" spans="2:4" x14ac:dyDescent="0.2">
      <c r="B2125" s="35"/>
      <c r="C2125" s="35"/>
      <c r="D2125" s="35"/>
    </row>
    <row r="2126" spans="2:4" x14ac:dyDescent="0.2">
      <c r="B2126" s="35"/>
      <c r="C2126" s="35"/>
      <c r="D2126" s="35"/>
    </row>
    <row r="2127" spans="2:4" x14ac:dyDescent="0.2">
      <c r="B2127" s="35"/>
      <c r="C2127" s="35"/>
      <c r="D2127" s="35"/>
    </row>
    <row r="2128" spans="2:4" x14ac:dyDescent="0.2">
      <c r="B2128" s="35"/>
      <c r="C2128" s="35"/>
      <c r="D2128" s="35"/>
    </row>
    <row r="2129" spans="2:4" x14ac:dyDescent="0.2">
      <c r="B2129" s="35"/>
      <c r="C2129" s="35"/>
      <c r="D2129" s="35"/>
    </row>
    <row r="2130" spans="2:4" x14ac:dyDescent="0.2">
      <c r="B2130" s="35"/>
      <c r="C2130" s="35"/>
      <c r="D2130" s="35"/>
    </row>
    <row r="2131" spans="2:4" x14ac:dyDescent="0.2">
      <c r="B2131" s="35"/>
      <c r="C2131" s="35"/>
      <c r="D2131" s="35"/>
    </row>
    <row r="2132" spans="2:4" x14ac:dyDescent="0.2">
      <c r="B2132" s="35"/>
      <c r="C2132" s="35"/>
      <c r="D2132" s="35"/>
    </row>
    <row r="2133" spans="2:4" x14ac:dyDescent="0.2">
      <c r="B2133" s="35"/>
      <c r="C2133" s="35"/>
      <c r="D2133" s="35"/>
    </row>
    <row r="2134" spans="2:4" x14ac:dyDescent="0.2">
      <c r="B2134" s="35"/>
      <c r="C2134" s="35"/>
      <c r="D2134" s="35"/>
    </row>
    <row r="2135" spans="2:4" x14ac:dyDescent="0.2">
      <c r="B2135" s="35"/>
      <c r="C2135" s="35"/>
      <c r="D2135" s="35"/>
    </row>
    <row r="2136" spans="2:4" x14ac:dyDescent="0.2">
      <c r="B2136" s="35"/>
      <c r="C2136" s="35"/>
      <c r="D2136" s="35"/>
    </row>
    <row r="2137" spans="2:4" x14ac:dyDescent="0.2">
      <c r="B2137" s="35"/>
      <c r="C2137" s="35"/>
      <c r="D2137" s="35"/>
    </row>
    <row r="2138" spans="2:4" x14ac:dyDescent="0.2">
      <c r="B2138" s="35"/>
      <c r="C2138" s="35"/>
      <c r="D2138" s="35"/>
    </row>
    <row r="2139" spans="2:4" x14ac:dyDescent="0.2">
      <c r="B2139" s="35"/>
      <c r="C2139" s="35"/>
      <c r="D2139" s="35"/>
    </row>
    <row r="2140" spans="2:4" x14ac:dyDescent="0.2">
      <c r="B2140" s="35"/>
      <c r="C2140" s="35"/>
      <c r="D2140" s="35"/>
    </row>
    <row r="2141" spans="2:4" x14ac:dyDescent="0.2">
      <c r="B2141" s="35"/>
      <c r="C2141" s="35"/>
      <c r="D2141" s="35"/>
    </row>
    <row r="2142" spans="2:4" x14ac:dyDescent="0.2">
      <c r="B2142" s="35"/>
      <c r="C2142" s="35"/>
      <c r="D2142" s="35"/>
    </row>
    <row r="2143" spans="2:4" x14ac:dyDescent="0.2">
      <c r="B2143" s="35"/>
      <c r="C2143" s="35"/>
      <c r="D2143" s="35"/>
    </row>
    <row r="2144" spans="2:4" x14ac:dyDescent="0.2">
      <c r="B2144" s="35"/>
      <c r="C2144" s="35"/>
      <c r="D2144" s="35"/>
    </row>
    <row r="2145" spans="2:4" x14ac:dyDescent="0.2">
      <c r="B2145" s="35"/>
      <c r="C2145" s="35"/>
      <c r="D2145" s="35"/>
    </row>
    <row r="2146" spans="2:4" x14ac:dyDescent="0.2">
      <c r="B2146" s="35"/>
      <c r="C2146" s="35"/>
      <c r="D2146" s="35"/>
    </row>
    <row r="2147" spans="2:4" x14ac:dyDescent="0.2">
      <c r="B2147" s="35"/>
      <c r="C2147" s="35"/>
      <c r="D2147" s="35"/>
    </row>
    <row r="2148" spans="2:4" x14ac:dyDescent="0.2">
      <c r="B2148" s="35"/>
      <c r="C2148" s="35"/>
      <c r="D2148" s="35"/>
    </row>
    <row r="2149" spans="2:4" x14ac:dyDescent="0.2">
      <c r="B2149" s="35"/>
      <c r="C2149" s="35"/>
      <c r="D2149" s="35"/>
    </row>
    <row r="2150" spans="2:4" x14ac:dyDescent="0.2">
      <c r="B2150" s="35"/>
      <c r="C2150" s="35"/>
      <c r="D2150" s="35"/>
    </row>
    <row r="2151" spans="2:4" x14ac:dyDescent="0.2">
      <c r="B2151" s="35"/>
      <c r="C2151" s="35"/>
      <c r="D2151" s="35"/>
    </row>
    <row r="2152" spans="2:4" x14ac:dyDescent="0.2">
      <c r="B2152" s="35"/>
      <c r="C2152" s="35"/>
      <c r="D2152" s="35"/>
    </row>
    <row r="2153" spans="2:4" x14ac:dyDescent="0.2">
      <c r="B2153" s="35"/>
      <c r="C2153" s="35"/>
      <c r="D2153" s="35"/>
    </row>
    <row r="2154" spans="2:4" x14ac:dyDescent="0.2">
      <c r="B2154" s="35"/>
      <c r="C2154" s="35"/>
      <c r="D2154" s="35"/>
    </row>
    <row r="2155" spans="2:4" x14ac:dyDescent="0.2">
      <c r="B2155" s="35"/>
      <c r="C2155" s="35"/>
      <c r="D2155" s="35"/>
    </row>
    <row r="2156" spans="2:4" x14ac:dyDescent="0.2">
      <c r="B2156" s="35"/>
      <c r="C2156" s="35"/>
      <c r="D2156" s="35"/>
    </row>
    <row r="2157" spans="2:4" x14ac:dyDescent="0.2">
      <c r="B2157" s="35"/>
      <c r="C2157" s="35"/>
      <c r="D2157" s="35"/>
    </row>
    <row r="2158" spans="2:4" x14ac:dyDescent="0.2">
      <c r="B2158" s="35"/>
      <c r="C2158" s="35"/>
      <c r="D2158" s="35"/>
    </row>
    <row r="2159" spans="2:4" x14ac:dyDescent="0.2">
      <c r="B2159" s="35"/>
      <c r="C2159" s="35"/>
      <c r="D2159" s="35"/>
    </row>
    <row r="2160" spans="2:4" x14ac:dyDescent="0.2">
      <c r="B2160" s="35"/>
      <c r="C2160" s="35"/>
      <c r="D2160" s="35"/>
    </row>
    <row r="2161" spans="2:4" x14ac:dyDescent="0.2">
      <c r="B2161" s="35"/>
      <c r="C2161" s="35"/>
      <c r="D2161" s="35"/>
    </row>
    <row r="2162" spans="2:4" x14ac:dyDescent="0.2">
      <c r="B2162" s="35"/>
      <c r="C2162" s="35"/>
      <c r="D2162" s="35"/>
    </row>
    <row r="2163" spans="2:4" x14ac:dyDescent="0.2">
      <c r="B2163" s="35"/>
      <c r="C2163" s="35"/>
      <c r="D2163" s="35"/>
    </row>
    <row r="2164" spans="2:4" x14ac:dyDescent="0.2">
      <c r="B2164" s="35"/>
      <c r="C2164" s="35"/>
      <c r="D2164" s="35"/>
    </row>
    <row r="2165" spans="2:4" x14ac:dyDescent="0.2">
      <c r="B2165" s="35"/>
      <c r="C2165" s="35"/>
      <c r="D2165" s="35"/>
    </row>
    <row r="2166" spans="2:4" x14ac:dyDescent="0.2">
      <c r="B2166" s="35"/>
      <c r="C2166" s="35"/>
      <c r="D2166" s="35"/>
    </row>
    <row r="2167" spans="2:4" x14ac:dyDescent="0.2">
      <c r="B2167" s="35"/>
      <c r="C2167" s="35"/>
      <c r="D2167" s="35"/>
    </row>
    <row r="2168" spans="2:4" x14ac:dyDescent="0.2">
      <c r="B2168" s="35"/>
      <c r="C2168" s="35"/>
      <c r="D2168" s="35"/>
    </row>
    <row r="2169" spans="2:4" x14ac:dyDescent="0.2">
      <c r="B2169" s="35"/>
      <c r="C2169" s="35"/>
      <c r="D2169" s="35"/>
    </row>
    <row r="2170" spans="2:4" x14ac:dyDescent="0.2">
      <c r="B2170" s="35"/>
      <c r="C2170" s="35"/>
      <c r="D2170" s="35"/>
    </row>
    <row r="2171" spans="2:4" x14ac:dyDescent="0.2">
      <c r="B2171" s="35"/>
      <c r="C2171" s="35"/>
      <c r="D2171" s="35"/>
    </row>
    <row r="2172" spans="2:4" x14ac:dyDescent="0.2">
      <c r="B2172" s="35"/>
      <c r="C2172" s="35"/>
      <c r="D2172" s="35"/>
    </row>
    <row r="2173" spans="2:4" x14ac:dyDescent="0.2">
      <c r="B2173" s="35"/>
      <c r="C2173" s="35"/>
      <c r="D2173" s="35"/>
    </row>
    <row r="2174" spans="2:4" x14ac:dyDescent="0.2">
      <c r="B2174" s="35"/>
      <c r="C2174" s="35"/>
      <c r="D2174" s="35"/>
    </row>
    <row r="2175" spans="2:4" x14ac:dyDescent="0.2">
      <c r="B2175" s="35"/>
      <c r="C2175" s="35"/>
      <c r="D2175" s="35"/>
    </row>
    <row r="2176" spans="2:4" x14ac:dyDescent="0.2">
      <c r="B2176" s="35"/>
      <c r="C2176" s="35"/>
      <c r="D2176" s="35"/>
    </row>
    <row r="2177" spans="2:4" x14ac:dyDescent="0.2">
      <c r="B2177" s="35"/>
      <c r="C2177" s="35"/>
      <c r="D2177" s="35"/>
    </row>
    <row r="2178" spans="2:4" x14ac:dyDescent="0.2">
      <c r="B2178" s="35"/>
      <c r="C2178" s="35"/>
      <c r="D2178" s="35"/>
    </row>
    <row r="2179" spans="2:4" x14ac:dyDescent="0.2">
      <c r="B2179" s="35"/>
      <c r="C2179" s="35"/>
      <c r="D2179" s="35"/>
    </row>
    <row r="2180" spans="2:4" x14ac:dyDescent="0.2">
      <c r="B2180" s="35"/>
      <c r="C2180" s="35"/>
      <c r="D2180" s="35"/>
    </row>
    <row r="2181" spans="2:4" x14ac:dyDescent="0.2">
      <c r="B2181" s="35"/>
      <c r="C2181" s="35"/>
      <c r="D2181" s="35"/>
    </row>
    <row r="2182" spans="2:4" x14ac:dyDescent="0.2">
      <c r="B2182" s="35"/>
      <c r="C2182" s="35"/>
      <c r="D2182" s="35"/>
    </row>
    <row r="2183" spans="2:4" x14ac:dyDescent="0.2">
      <c r="B2183" s="35"/>
      <c r="C2183" s="35"/>
      <c r="D2183" s="35"/>
    </row>
    <row r="2184" spans="2:4" x14ac:dyDescent="0.2">
      <c r="B2184" s="35"/>
      <c r="C2184" s="35"/>
      <c r="D2184" s="35"/>
    </row>
    <row r="2185" spans="2:4" x14ac:dyDescent="0.2">
      <c r="B2185" s="35"/>
      <c r="C2185" s="35"/>
      <c r="D2185" s="35"/>
    </row>
    <row r="2186" spans="2:4" x14ac:dyDescent="0.2">
      <c r="B2186" s="35"/>
      <c r="C2186" s="35"/>
      <c r="D2186" s="35"/>
    </row>
    <row r="2187" spans="2:4" x14ac:dyDescent="0.2">
      <c r="B2187" s="35"/>
      <c r="C2187" s="35"/>
      <c r="D2187" s="35"/>
    </row>
    <row r="2188" spans="2:4" x14ac:dyDescent="0.2">
      <c r="B2188" s="35"/>
      <c r="C2188" s="35"/>
      <c r="D2188" s="35"/>
    </row>
    <row r="2189" spans="2:4" x14ac:dyDescent="0.2">
      <c r="B2189" s="35"/>
      <c r="C2189" s="35"/>
      <c r="D2189" s="35"/>
    </row>
    <row r="2190" spans="2:4" x14ac:dyDescent="0.2">
      <c r="B2190" s="35"/>
      <c r="C2190" s="35"/>
      <c r="D2190" s="35"/>
    </row>
    <row r="2191" spans="2:4" x14ac:dyDescent="0.2">
      <c r="B2191" s="35"/>
      <c r="C2191" s="35"/>
      <c r="D2191" s="35"/>
    </row>
    <row r="2192" spans="2:4" x14ac:dyDescent="0.2">
      <c r="B2192" s="35"/>
      <c r="C2192" s="35"/>
      <c r="D2192" s="35"/>
    </row>
    <row r="2193" spans="2:4" x14ac:dyDescent="0.2">
      <c r="B2193" s="35"/>
      <c r="C2193" s="35"/>
      <c r="D2193" s="35"/>
    </row>
    <row r="2194" spans="2:4" x14ac:dyDescent="0.2">
      <c r="B2194" s="35"/>
      <c r="C2194" s="35"/>
      <c r="D2194" s="35"/>
    </row>
    <row r="2195" spans="2:4" x14ac:dyDescent="0.2">
      <c r="B2195" s="35"/>
      <c r="C2195" s="35"/>
      <c r="D2195" s="35"/>
    </row>
    <row r="2196" spans="2:4" x14ac:dyDescent="0.2">
      <c r="B2196" s="35"/>
      <c r="C2196" s="35"/>
      <c r="D2196" s="35"/>
    </row>
    <row r="2197" spans="2:4" x14ac:dyDescent="0.2">
      <c r="B2197" s="35"/>
      <c r="C2197" s="35"/>
      <c r="D2197" s="35"/>
    </row>
    <row r="2198" spans="2:4" x14ac:dyDescent="0.2">
      <c r="B2198" s="35"/>
      <c r="C2198" s="35"/>
      <c r="D2198" s="35"/>
    </row>
    <row r="2199" spans="2:4" x14ac:dyDescent="0.2">
      <c r="B2199" s="35"/>
      <c r="C2199" s="35"/>
      <c r="D2199" s="35"/>
    </row>
    <row r="2200" spans="2:4" x14ac:dyDescent="0.2">
      <c r="B2200" s="35"/>
      <c r="C2200" s="35"/>
      <c r="D2200" s="35"/>
    </row>
    <row r="2201" spans="2:4" x14ac:dyDescent="0.2">
      <c r="B2201" s="35"/>
      <c r="C2201" s="35"/>
      <c r="D2201" s="35"/>
    </row>
    <row r="2202" spans="2:4" x14ac:dyDescent="0.2">
      <c r="B2202" s="35"/>
      <c r="C2202" s="35"/>
      <c r="D2202" s="35"/>
    </row>
    <row r="2203" spans="2:4" x14ac:dyDescent="0.2">
      <c r="B2203" s="35"/>
      <c r="C2203" s="35"/>
      <c r="D2203" s="35"/>
    </row>
    <row r="2204" spans="2:4" x14ac:dyDescent="0.2">
      <c r="B2204" s="35"/>
      <c r="C2204" s="35"/>
      <c r="D2204" s="35"/>
    </row>
    <row r="2205" spans="2:4" x14ac:dyDescent="0.2">
      <c r="B2205" s="35"/>
      <c r="C2205" s="35"/>
      <c r="D2205" s="35"/>
    </row>
    <row r="2206" spans="2:4" x14ac:dyDescent="0.2">
      <c r="B2206" s="35"/>
      <c r="C2206" s="35"/>
      <c r="D2206" s="35"/>
    </row>
    <row r="2207" spans="2:4" x14ac:dyDescent="0.2">
      <c r="B2207" s="35"/>
      <c r="C2207" s="35"/>
      <c r="D2207" s="35"/>
    </row>
    <row r="2208" spans="2:4" x14ac:dyDescent="0.2">
      <c r="B2208" s="35"/>
      <c r="C2208" s="35"/>
      <c r="D2208" s="35"/>
    </row>
    <row r="2209" spans="2:4" x14ac:dyDescent="0.2">
      <c r="B2209" s="35"/>
      <c r="C2209" s="35"/>
      <c r="D2209" s="35"/>
    </row>
    <row r="2210" spans="2:4" x14ac:dyDescent="0.2">
      <c r="B2210" s="35"/>
      <c r="C2210" s="35"/>
      <c r="D2210" s="35"/>
    </row>
    <row r="2211" spans="2:4" x14ac:dyDescent="0.2">
      <c r="B2211" s="35"/>
      <c r="C2211" s="35"/>
      <c r="D2211" s="35"/>
    </row>
    <row r="2212" spans="2:4" x14ac:dyDescent="0.2">
      <c r="B2212" s="35"/>
      <c r="C2212" s="35"/>
      <c r="D2212" s="35"/>
    </row>
    <row r="2213" spans="2:4" x14ac:dyDescent="0.2">
      <c r="B2213" s="35"/>
      <c r="C2213" s="35"/>
      <c r="D2213" s="35"/>
    </row>
    <row r="2214" spans="2:4" x14ac:dyDescent="0.2">
      <c r="B2214" s="35"/>
      <c r="C2214" s="35"/>
      <c r="D2214" s="35"/>
    </row>
    <row r="2215" spans="2:4" x14ac:dyDescent="0.2">
      <c r="B2215" s="35"/>
      <c r="C2215" s="35"/>
      <c r="D2215" s="35"/>
    </row>
    <row r="2216" spans="2:4" x14ac:dyDescent="0.2">
      <c r="B2216" s="35"/>
      <c r="C2216" s="35"/>
      <c r="D2216" s="35"/>
    </row>
    <row r="2217" spans="2:4" x14ac:dyDescent="0.2">
      <c r="B2217" s="35"/>
      <c r="C2217" s="35"/>
      <c r="D2217" s="35"/>
    </row>
    <row r="2218" spans="2:4" x14ac:dyDescent="0.2">
      <c r="B2218" s="35"/>
      <c r="C2218" s="35"/>
      <c r="D2218" s="35"/>
    </row>
    <row r="2219" spans="2:4" x14ac:dyDescent="0.2">
      <c r="B2219" s="35"/>
      <c r="C2219" s="35"/>
      <c r="D2219" s="35"/>
    </row>
    <row r="2220" spans="2:4" x14ac:dyDescent="0.2">
      <c r="B2220" s="35"/>
      <c r="C2220" s="35"/>
      <c r="D2220" s="35"/>
    </row>
    <row r="2221" spans="2:4" x14ac:dyDescent="0.2">
      <c r="B2221" s="35"/>
      <c r="C2221" s="35"/>
      <c r="D2221" s="35"/>
    </row>
    <row r="2222" spans="2:4" x14ac:dyDescent="0.2">
      <c r="B2222" s="35"/>
      <c r="C2222" s="35"/>
      <c r="D2222" s="35"/>
    </row>
    <row r="2223" spans="2:4" x14ac:dyDescent="0.2">
      <c r="B2223" s="35"/>
      <c r="C2223" s="35"/>
      <c r="D2223" s="35"/>
    </row>
    <row r="2224" spans="2:4" x14ac:dyDescent="0.2">
      <c r="B2224" s="35"/>
      <c r="C2224" s="35"/>
      <c r="D2224" s="35"/>
    </row>
    <row r="2225" spans="2:4" x14ac:dyDescent="0.2">
      <c r="B2225" s="35"/>
      <c r="C2225" s="35"/>
      <c r="D2225" s="35"/>
    </row>
    <row r="2226" spans="2:4" x14ac:dyDescent="0.2">
      <c r="B2226" s="35"/>
      <c r="C2226" s="35"/>
      <c r="D2226" s="35"/>
    </row>
    <row r="2227" spans="2:4" x14ac:dyDescent="0.2">
      <c r="B2227" s="35"/>
      <c r="C2227" s="35"/>
      <c r="D2227" s="35"/>
    </row>
    <row r="2228" spans="2:4" x14ac:dyDescent="0.2">
      <c r="B2228" s="35"/>
      <c r="C2228" s="35"/>
      <c r="D2228" s="35"/>
    </row>
    <row r="2229" spans="2:4" x14ac:dyDescent="0.2">
      <c r="B2229" s="35"/>
      <c r="C2229" s="35"/>
      <c r="D2229" s="35"/>
    </row>
    <row r="2230" spans="2:4" x14ac:dyDescent="0.2">
      <c r="B2230" s="35"/>
      <c r="C2230" s="35"/>
      <c r="D2230" s="35"/>
    </row>
    <row r="2231" spans="2:4" x14ac:dyDescent="0.2">
      <c r="B2231" s="35"/>
      <c r="C2231" s="35"/>
      <c r="D2231" s="35"/>
    </row>
    <row r="2232" spans="2:4" x14ac:dyDescent="0.2">
      <c r="B2232" s="35"/>
      <c r="C2232" s="35"/>
      <c r="D2232" s="35"/>
    </row>
    <row r="2233" spans="2:4" x14ac:dyDescent="0.2">
      <c r="B2233" s="35"/>
      <c r="C2233" s="35"/>
      <c r="D2233" s="35"/>
    </row>
    <row r="2234" spans="2:4" x14ac:dyDescent="0.2">
      <c r="B2234" s="35"/>
      <c r="C2234" s="35"/>
      <c r="D2234" s="35"/>
    </row>
    <row r="2235" spans="2:4" x14ac:dyDescent="0.2">
      <c r="B2235" s="35"/>
      <c r="C2235" s="35"/>
      <c r="D2235" s="35"/>
    </row>
    <row r="2236" spans="2:4" x14ac:dyDescent="0.2">
      <c r="B2236" s="35"/>
      <c r="C2236" s="35"/>
      <c r="D2236" s="35"/>
    </row>
    <row r="2237" spans="2:4" x14ac:dyDescent="0.2">
      <c r="B2237" s="35"/>
      <c r="C2237" s="35"/>
      <c r="D2237" s="35"/>
    </row>
    <row r="2238" spans="2:4" x14ac:dyDescent="0.2">
      <c r="B2238" s="35"/>
      <c r="C2238" s="35"/>
      <c r="D2238" s="35"/>
    </row>
    <row r="2239" spans="2:4" x14ac:dyDescent="0.2">
      <c r="B2239" s="35"/>
      <c r="C2239" s="35"/>
      <c r="D2239" s="35"/>
    </row>
    <row r="2240" spans="2:4" x14ac:dyDescent="0.2">
      <c r="B2240" s="35"/>
      <c r="C2240" s="35"/>
      <c r="D2240" s="35"/>
    </row>
    <row r="2241" spans="2:4" x14ac:dyDescent="0.2">
      <c r="B2241" s="35"/>
      <c r="C2241" s="35"/>
      <c r="D2241" s="35"/>
    </row>
    <row r="2242" spans="2:4" x14ac:dyDescent="0.2">
      <c r="B2242" s="35"/>
      <c r="C2242" s="35"/>
      <c r="D2242" s="35"/>
    </row>
    <row r="2243" spans="2:4" x14ac:dyDescent="0.2">
      <c r="B2243" s="35"/>
      <c r="C2243" s="35"/>
      <c r="D2243" s="35"/>
    </row>
    <row r="2244" spans="2:4" x14ac:dyDescent="0.2">
      <c r="B2244" s="35"/>
      <c r="C2244" s="35"/>
      <c r="D2244" s="35"/>
    </row>
    <row r="2245" spans="2:4" x14ac:dyDescent="0.2">
      <c r="B2245" s="35"/>
      <c r="C2245" s="35"/>
      <c r="D2245" s="35"/>
    </row>
    <row r="2246" spans="2:4" x14ac:dyDescent="0.2">
      <c r="B2246" s="35"/>
      <c r="C2246" s="35"/>
      <c r="D2246" s="35"/>
    </row>
    <row r="2247" spans="2:4" x14ac:dyDescent="0.2">
      <c r="B2247" s="35"/>
      <c r="C2247" s="35"/>
      <c r="D2247" s="35"/>
    </row>
    <row r="2248" spans="2:4" x14ac:dyDescent="0.2">
      <c r="B2248" s="35"/>
      <c r="C2248" s="35"/>
      <c r="D2248" s="35"/>
    </row>
    <row r="2249" spans="2:4" x14ac:dyDescent="0.2">
      <c r="B2249" s="35"/>
      <c r="C2249" s="35"/>
      <c r="D2249" s="35"/>
    </row>
    <row r="2250" spans="2:4" x14ac:dyDescent="0.2">
      <c r="B2250" s="35"/>
      <c r="C2250" s="35"/>
      <c r="D2250" s="35"/>
    </row>
    <row r="2251" spans="2:4" x14ac:dyDescent="0.2">
      <c r="B2251" s="35"/>
      <c r="C2251" s="35"/>
      <c r="D2251" s="35"/>
    </row>
    <row r="2252" spans="2:4" x14ac:dyDescent="0.2">
      <c r="B2252" s="35"/>
      <c r="C2252" s="35"/>
      <c r="D2252" s="35"/>
    </row>
    <row r="2253" spans="2:4" x14ac:dyDescent="0.2">
      <c r="B2253" s="35"/>
      <c r="C2253" s="35"/>
      <c r="D2253" s="35"/>
    </row>
    <row r="2254" spans="2:4" x14ac:dyDescent="0.2">
      <c r="B2254" s="35"/>
      <c r="C2254" s="35"/>
      <c r="D2254" s="35"/>
    </row>
    <row r="2255" spans="2:4" x14ac:dyDescent="0.2">
      <c r="B2255" s="35"/>
      <c r="C2255" s="35"/>
      <c r="D2255" s="35"/>
    </row>
    <row r="2256" spans="2:4" x14ac:dyDescent="0.2">
      <c r="B2256" s="35"/>
      <c r="C2256" s="35"/>
      <c r="D2256" s="35"/>
    </row>
    <row r="2257" spans="2:4" x14ac:dyDescent="0.2">
      <c r="B2257" s="35"/>
      <c r="C2257" s="35"/>
      <c r="D2257" s="35"/>
    </row>
    <row r="2258" spans="2:4" x14ac:dyDescent="0.2">
      <c r="B2258" s="35"/>
      <c r="C2258" s="35"/>
      <c r="D2258" s="35"/>
    </row>
    <row r="2259" spans="2:4" x14ac:dyDescent="0.2">
      <c r="B2259" s="35"/>
      <c r="C2259" s="35"/>
      <c r="D2259" s="35"/>
    </row>
    <row r="2260" spans="2:4" x14ac:dyDescent="0.2">
      <c r="B2260" s="35"/>
      <c r="C2260" s="35"/>
      <c r="D2260" s="35"/>
    </row>
    <row r="2261" spans="2:4" x14ac:dyDescent="0.2">
      <c r="B2261" s="35"/>
      <c r="C2261" s="35"/>
      <c r="D2261" s="35"/>
    </row>
    <row r="2262" spans="2:4" x14ac:dyDescent="0.2">
      <c r="B2262" s="35"/>
      <c r="C2262" s="35"/>
      <c r="D2262" s="35"/>
    </row>
    <row r="2263" spans="2:4" x14ac:dyDescent="0.2">
      <c r="B2263" s="35"/>
      <c r="C2263" s="35"/>
      <c r="D2263" s="35"/>
    </row>
    <row r="2264" spans="2:4" x14ac:dyDescent="0.2">
      <c r="B2264" s="35"/>
      <c r="C2264" s="35"/>
      <c r="D2264" s="35"/>
    </row>
    <row r="2265" spans="2:4" x14ac:dyDescent="0.2">
      <c r="B2265" s="35"/>
      <c r="C2265" s="35"/>
      <c r="D2265" s="35"/>
    </row>
    <row r="2266" spans="2:4" x14ac:dyDescent="0.2">
      <c r="B2266" s="35"/>
      <c r="C2266" s="35"/>
      <c r="D2266" s="35"/>
    </row>
    <row r="2267" spans="2:4" x14ac:dyDescent="0.2">
      <c r="B2267" s="35"/>
      <c r="C2267" s="35"/>
      <c r="D2267" s="35"/>
    </row>
    <row r="2268" spans="2:4" x14ac:dyDescent="0.2">
      <c r="B2268" s="35"/>
      <c r="C2268" s="35"/>
      <c r="D2268" s="35"/>
    </row>
    <row r="2269" spans="2:4" x14ac:dyDescent="0.2">
      <c r="B2269" s="35"/>
      <c r="C2269" s="35"/>
      <c r="D2269" s="35"/>
    </row>
    <row r="2270" spans="2:4" x14ac:dyDescent="0.2">
      <c r="B2270" s="35"/>
      <c r="C2270" s="35"/>
      <c r="D2270" s="35"/>
    </row>
    <row r="2271" spans="2:4" x14ac:dyDescent="0.2">
      <c r="B2271" s="35"/>
      <c r="C2271" s="35"/>
      <c r="D2271" s="35"/>
    </row>
    <row r="2272" spans="2:4" x14ac:dyDescent="0.2">
      <c r="B2272" s="35"/>
      <c r="C2272" s="35"/>
      <c r="D2272" s="35"/>
    </row>
    <row r="2273" spans="2:4" x14ac:dyDescent="0.2">
      <c r="B2273" s="35"/>
      <c r="C2273" s="35"/>
      <c r="D2273" s="35"/>
    </row>
    <row r="2274" spans="2:4" x14ac:dyDescent="0.2">
      <c r="B2274" s="35"/>
      <c r="C2274" s="35"/>
      <c r="D2274" s="35"/>
    </row>
    <row r="2275" spans="2:4" x14ac:dyDescent="0.2">
      <c r="B2275" s="35"/>
      <c r="C2275" s="35"/>
      <c r="D2275" s="35"/>
    </row>
    <row r="2276" spans="2:4" x14ac:dyDescent="0.2">
      <c r="B2276" s="35"/>
      <c r="C2276" s="35"/>
      <c r="D2276" s="35"/>
    </row>
    <row r="2277" spans="2:4" x14ac:dyDescent="0.2">
      <c r="B2277" s="35"/>
      <c r="C2277" s="35"/>
      <c r="D2277" s="35"/>
    </row>
    <row r="2278" spans="2:4" x14ac:dyDescent="0.2">
      <c r="B2278" s="35"/>
      <c r="C2278" s="35"/>
      <c r="D2278" s="35"/>
    </row>
    <row r="2279" spans="2:4" x14ac:dyDescent="0.2">
      <c r="B2279" s="35"/>
      <c r="C2279" s="35"/>
      <c r="D2279" s="35"/>
    </row>
    <row r="2280" spans="2:4" x14ac:dyDescent="0.2">
      <c r="B2280" s="35"/>
      <c r="C2280" s="35"/>
      <c r="D2280" s="35"/>
    </row>
    <row r="2281" spans="2:4" x14ac:dyDescent="0.2">
      <c r="B2281" s="35"/>
      <c r="C2281" s="35"/>
      <c r="D2281" s="35"/>
    </row>
    <row r="2282" spans="2:4" x14ac:dyDescent="0.2">
      <c r="B2282" s="35"/>
      <c r="C2282" s="35"/>
      <c r="D2282" s="35"/>
    </row>
    <row r="2283" spans="2:4" x14ac:dyDescent="0.2">
      <c r="B2283" s="35"/>
      <c r="C2283" s="35"/>
      <c r="D2283" s="35"/>
    </row>
    <row r="2284" spans="2:4" x14ac:dyDescent="0.2">
      <c r="B2284" s="35"/>
      <c r="C2284" s="35"/>
      <c r="D2284" s="35"/>
    </row>
    <row r="2285" spans="2:4" x14ac:dyDescent="0.2">
      <c r="B2285" s="35"/>
      <c r="C2285" s="35"/>
      <c r="D2285" s="35"/>
    </row>
    <row r="2286" spans="2:4" x14ac:dyDescent="0.2">
      <c r="B2286" s="35"/>
      <c r="C2286" s="35"/>
      <c r="D2286" s="35"/>
    </row>
    <row r="2287" spans="2:4" x14ac:dyDescent="0.2">
      <c r="B2287" s="35"/>
      <c r="C2287" s="35"/>
      <c r="D2287" s="35"/>
    </row>
    <row r="2288" spans="2:4" x14ac:dyDescent="0.2">
      <c r="B2288" s="35"/>
      <c r="C2288" s="35"/>
      <c r="D2288" s="35"/>
    </row>
    <row r="2289" spans="2:4" x14ac:dyDescent="0.2">
      <c r="B2289" s="35"/>
      <c r="C2289" s="35"/>
      <c r="D2289" s="35"/>
    </row>
    <row r="2290" spans="2:4" x14ac:dyDescent="0.2">
      <c r="B2290" s="35"/>
      <c r="C2290" s="35"/>
      <c r="D2290" s="35"/>
    </row>
    <row r="2291" spans="2:4" x14ac:dyDescent="0.2">
      <c r="B2291" s="35"/>
      <c r="C2291" s="35"/>
      <c r="D2291" s="35"/>
    </row>
    <row r="2292" spans="2:4" x14ac:dyDescent="0.2">
      <c r="B2292" s="35"/>
      <c r="C2292" s="35"/>
      <c r="D2292" s="35"/>
    </row>
    <row r="2293" spans="2:4" x14ac:dyDescent="0.2">
      <c r="B2293" s="35"/>
      <c r="C2293" s="35"/>
      <c r="D2293" s="35"/>
    </row>
    <row r="2294" spans="2:4" x14ac:dyDescent="0.2">
      <c r="B2294" s="35"/>
      <c r="C2294" s="35"/>
      <c r="D2294" s="35"/>
    </row>
    <row r="2295" spans="2:4" x14ac:dyDescent="0.2">
      <c r="B2295" s="35"/>
      <c r="C2295" s="35"/>
      <c r="D2295" s="35"/>
    </row>
    <row r="2296" spans="2:4" x14ac:dyDescent="0.2">
      <c r="B2296" s="35"/>
      <c r="C2296" s="35"/>
      <c r="D2296" s="35"/>
    </row>
    <row r="2297" spans="2:4" x14ac:dyDescent="0.2">
      <c r="B2297" s="35"/>
      <c r="C2297" s="35"/>
      <c r="D2297" s="35"/>
    </row>
    <row r="2298" spans="2:4" x14ac:dyDescent="0.2">
      <c r="B2298" s="35"/>
      <c r="C2298" s="35"/>
      <c r="D2298" s="35"/>
    </row>
    <row r="2299" spans="2:4" x14ac:dyDescent="0.2">
      <c r="B2299" s="35"/>
      <c r="C2299" s="35"/>
      <c r="D2299" s="35"/>
    </row>
    <row r="2300" spans="2:4" x14ac:dyDescent="0.2">
      <c r="B2300" s="35"/>
      <c r="C2300" s="35"/>
      <c r="D2300" s="35"/>
    </row>
    <row r="2301" spans="2:4" x14ac:dyDescent="0.2">
      <c r="B2301" s="35"/>
      <c r="C2301" s="35"/>
      <c r="D2301" s="35"/>
    </row>
    <row r="2302" spans="2:4" x14ac:dyDescent="0.2">
      <c r="B2302" s="35"/>
      <c r="C2302" s="35"/>
      <c r="D2302" s="35"/>
    </row>
    <row r="2303" spans="2:4" x14ac:dyDescent="0.2">
      <c r="B2303" s="35"/>
      <c r="C2303" s="35"/>
      <c r="D2303" s="35"/>
    </row>
    <row r="2304" spans="2:4" x14ac:dyDescent="0.2">
      <c r="B2304" s="35"/>
      <c r="C2304" s="35"/>
      <c r="D2304" s="35"/>
    </row>
    <row r="2305" spans="2:4" x14ac:dyDescent="0.2">
      <c r="B2305" s="35"/>
      <c r="C2305" s="35"/>
      <c r="D2305" s="35"/>
    </row>
    <row r="2306" spans="2:4" x14ac:dyDescent="0.2">
      <c r="B2306" s="35"/>
      <c r="C2306" s="35"/>
      <c r="D2306" s="35"/>
    </row>
    <row r="2307" spans="2:4" x14ac:dyDescent="0.2">
      <c r="B2307" s="35"/>
      <c r="C2307" s="35"/>
      <c r="D2307" s="35"/>
    </row>
    <row r="2308" spans="2:4" x14ac:dyDescent="0.2">
      <c r="B2308" s="35"/>
      <c r="C2308" s="35"/>
      <c r="D2308" s="35"/>
    </row>
    <row r="2309" spans="2:4" x14ac:dyDescent="0.2">
      <c r="B2309" s="35"/>
      <c r="C2309" s="35"/>
      <c r="D2309" s="35"/>
    </row>
    <row r="2310" spans="2:4" x14ac:dyDescent="0.2">
      <c r="B2310" s="35"/>
      <c r="C2310" s="35"/>
      <c r="D2310" s="35"/>
    </row>
    <row r="2311" spans="2:4" x14ac:dyDescent="0.2">
      <c r="B2311" s="35"/>
      <c r="C2311" s="35"/>
      <c r="D2311" s="35"/>
    </row>
    <row r="2312" spans="2:4" x14ac:dyDescent="0.2">
      <c r="B2312" s="35"/>
      <c r="C2312" s="35"/>
      <c r="D2312" s="35"/>
    </row>
    <row r="2313" spans="2:4" x14ac:dyDescent="0.2">
      <c r="B2313" s="35"/>
      <c r="C2313" s="35"/>
      <c r="D2313" s="35"/>
    </row>
    <row r="2314" spans="2:4" x14ac:dyDescent="0.2">
      <c r="B2314" s="35"/>
      <c r="C2314" s="35"/>
      <c r="D2314" s="35"/>
    </row>
    <row r="2315" spans="2:4" x14ac:dyDescent="0.2">
      <c r="B2315" s="35"/>
      <c r="C2315" s="35"/>
      <c r="D2315" s="35"/>
    </row>
    <row r="2316" spans="2:4" x14ac:dyDescent="0.2">
      <c r="B2316" s="35"/>
      <c r="C2316" s="35"/>
      <c r="D2316" s="35"/>
    </row>
    <row r="2317" spans="2:4" x14ac:dyDescent="0.2">
      <c r="B2317" s="35"/>
      <c r="C2317" s="35"/>
      <c r="D2317" s="35"/>
    </row>
    <row r="2318" spans="2:4" x14ac:dyDescent="0.2">
      <c r="B2318" s="35"/>
      <c r="C2318" s="35"/>
      <c r="D2318" s="35"/>
    </row>
    <row r="2319" spans="2:4" x14ac:dyDescent="0.2">
      <c r="B2319" s="35"/>
      <c r="C2319" s="35"/>
      <c r="D2319" s="35"/>
    </row>
    <row r="2320" spans="2:4" x14ac:dyDescent="0.2">
      <c r="B2320" s="35"/>
      <c r="C2320" s="35"/>
      <c r="D2320" s="35"/>
    </row>
    <row r="2321" spans="2:4" x14ac:dyDescent="0.2">
      <c r="B2321" s="35"/>
      <c r="C2321" s="35"/>
      <c r="D2321" s="35"/>
    </row>
    <row r="2322" spans="2:4" x14ac:dyDescent="0.2">
      <c r="B2322" s="35"/>
      <c r="C2322" s="35"/>
      <c r="D2322" s="35"/>
    </row>
    <row r="2323" spans="2:4" x14ac:dyDescent="0.2">
      <c r="B2323" s="35"/>
      <c r="C2323" s="35"/>
      <c r="D2323" s="35"/>
    </row>
    <row r="2324" spans="2:4" x14ac:dyDescent="0.2">
      <c r="B2324" s="35"/>
      <c r="C2324" s="35"/>
      <c r="D2324" s="35"/>
    </row>
    <row r="2325" spans="2:4" x14ac:dyDescent="0.2">
      <c r="B2325" s="35"/>
      <c r="C2325" s="35"/>
      <c r="D2325" s="35"/>
    </row>
    <row r="2326" spans="2:4" x14ac:dyDescent="0.2">
      <c r="B2326" s="35"/>
      <c r="C2326" s="35"/>
      <c r="D2326" s="35"/>
    </row>
    <row r="2327" spans="2:4" x14ac:dyDescent="0.2">
      <c r="B2327" s="35"/>
      <c r="C2327" s="35"/>
      <c r="D2327" s="35"/>
    </row>
    <row r="2328" spans="2:4" x14ac:dyDescent="0.2">
      <c r="B2328" s="35"/>
      <c r="C2328" s="35"/>
      <c r="D2328" s="35"/>
    </row>
    <row r="2329" spans="2:4" x14ac:dyDescent="0.2">
      <c r="B2329" s="35"/>
      <c r="C2329" s="35"/>
      <c r="D2329" s="35"/>
    </row>
    <row r="2330" spans="2:4" x14ac:dyDescent="0.2">
      <c r="B2330" s="35"/>
      <c r="C2330" s="35"/>
      <c r="D2330" s="35"/>
    </row>
    <row r="2331" spans="2:4" x14ac:dyDescent="0.2">
      <c r="B2331" s="35"/>
      <c r="C2331" s="35"/>
      <c r="D2331" s="35"/>
    </row>
    <row r="2332" spans="2:4" x14ac:dyDescent="0.2">
      <c r="B2332" s="35"/>
      <c r="C2332" s="35"/>
      <c r="D2332" s="35"/>
    </row>
    <row r="2333" spans="2:4" x14ac:dyDescent="0.2">
      <c r="B2333" s="35"/>
      <c r="C2333" s="35"/>
      <c r="D2333" s="35"/>
    </row>
    <row r="2334" spans="2:4" x14ac:dyDescent="0.2">
      <c r="B2334" s="35"/>
      <c r="C2334" s="35"/>
      <c r="D2334" s="35"/>
    </row>
    <row r="2335" spans="2:4" x14ac:dyDescent="0.2">
      <c r="B2335" s="35"/>
      <c r="C2335" s="35"/>
      <c r="D2335" s="35"/>
    </row>
    <row r="2336" spans="2:4" x14ac:dyDescent="0.2">
      <c r="B2336" s="35"/>
      <c r="C2336" s="35"/>
      <c r="D2336" s="35"/>
    </row>
    <row r="2337" spans="2:4" x14ac:dyDescent="0.2">
      <c r="B2337" s="35"/>
      <c r="C2337" s="35"/>
      <c r="D2337" s="35"/>
    </row>
    <row r="2338" spans="2:4" x14ac:dyDescent="0.2">
      <c r="B2338" s="35"/>
      <c r="C2338" s="35"/>
      <c r="D2338" s="35"/>
    </row>
    <row r="2339" spans="2:4" x14ac:dyDescent="0.2">
      <c r="B2339" s="35"/>
      <c r="C2339" s="35"/>
      <c r="D2339" s="35"/>
    </row>
    <row r="2340" spans="2:4" x14ac:dyDescent="0.2">
      <c r="B2340" s="35"/>
      <c r="C2340" s="35"/>
      <c r="D2340" s="35"/>
    </row>
    <row r="2341" spans="2:4" x14ac:dyDescent="0.2">
      <c r="B2341" s="35"/>
      <c r="C2341" s="35"/>
      <c r="D2341" s="35"/>
    </row>
    <row r="2342" spans="2:4" x14ac:dyDescent="0.2">
      <c r="B2342" s="35"/>
      <c r="C2342" s="35"/>
      <c r="D2342" s="35"/>
    </row>
    <row r="2343" spans="2:4" x14ac:dyDescent="0.2">
      <c r="B2343" s="35"/>
      <c r="C2343" s="35"/>
      <c r="D2343" s="35"/>
    </row>
    <row r="2344" spans="2:4" x14ac:dyDescent="0.2">
      <c r="B2344" s="35"/>
      <c r="C2344" s="35"/>
      <c r="D2344" s="35"/>
    </row>
    <row r="2345" spans="2:4" x14ac:dyDescent="0.2">
      <c r="B2345" s="35"/>
      <c r="C2345" s="35"/>
      <c r="D2345" s="35"/>
    </row>
    <row r="2346" spans="2:4" x14ac:dyDescent="0.2">
      <c r="B2346" s="35"/>
      <c r="C2346" s="35"/>
      <c r="D2346" s="35"/>
    </row>
    <row r="2347" spans="2:4" x14ac:dyDescent="0.2">
      <c r="B2347" s="35"/>
      <c r="C2347" s="35"/>
      <c r="D2347" s="35"/>
    </row>
    <row r="2348" spans="2:4" x14ac:dyDescent="0.2">
      <c r="B2348" s="35"/>
      <c r="C2348" s="35"/>
      <c r="D2348" s="35"/>
    </row>
    <row r="2349" spans="2:4" x14ac:dyDescent="0.2">
      <c r="B2349" s="35"/>
      <c r="C2349" s="35"/>
      <c r="D2349" s="35"/>
    </row>
    <row r="2350" spans="2:4" x14ac:dyDescent="0.2">
      <c r="B2350" s="35"/>
      <c r="C2350" s="35"/>
      <c r="D2350" s="35"/>
    </row>
    <row r="2351" spans="2:4" x14ac:dyDescent="0.2">
      <c r="B2351" s="35"/>
      <c r="C2351" s="35"/>
      <c r="D2351" s="35"/>
    </row>
    <row r="2352" spans="2:4" x14ac:dyDescent="0.2">
      <c r="B2352" s="35"/>
      <c r="C2352" s="35"/>
      <c r="D2352" s="35"/>
    </row>
    <row r="2353" spans="2:4" x14ac:dyDescent="0.2">
      <c r="B2353" s="35"/>
      <c r="C2353" s="35"/>
      <c r="D2353" s="35"/>
    </row>
    <row r="2354" spans="2:4" x14ac:dyDescent="0.2">
      <c r="B2354" s="35"/>
      <c r="C2354" s="35"/>
      <c r="D2354" s="35"/>
    </row>
    <row r="2355" spans="2:4" x14ac:dyDescent="0.2">
      <c r="B2355" s="35"/>
      <c r="C2355" s="35"/>
      <c r="D2355" s="35"/>
    </row>
    <row r="2356" spans="2:4" x14ac:dyDescent="0.2">
      <c r="B2356" s="35"/>
      <c r="C2356" s="35"/>
      <c r="D2356" s="35"/>
    </row>
    <row r="2357" spans="2:4" x14ac:dyDescent="0.2">
      <c r="B2357" s="35"/>
      <c r="C2357" s="35"/>
      <c r="D2357" s="35"/>
    </row>
    <row r="2358" spans="2:4" x14ac:dyDescent="0.2">
      <c r="B2358" s="35"/>
      <c r="C2358" s="35"/>
      <c r="D2358" s="35"/>
    </row>
    <row r="2359" spans="2:4" x14ac:dyDescent="0.2">
      <c r="B2359" s="35"/>
      <c r="C2359" s="35"/>
      <c r="D2359" s="35"/>
    </row>
    <row r="2360" spans="2:4" x14ac:dyDescent="0.2">
      <c r="B2360" s="35"/>
      <c r="C2360" s="35"/>
      <c r="D2360" s="35"/>
    </row>
    <row r="2361" spans="2:4" x14ac:dyDescent="0.2">
      <c r="B2361" s="35"/>
      <c r="C2361" s="35"/>
      <c r="D2361" s="35"/>
    </row>
    <row r="2362" spans="2:4" x14ac:dyDescent="0.2">
      <c r="B2362" s="35"/>
      <c r="C2362" s="35"/>
      <c r="D2362" s="35"/>
    </row>
    <row r="2363" spans="2:4" x14ac:dyDescent="0.2">
      <c r="B2363" s="35"/>
      <c r="C2363" s="35"/>
      <c r="D2363" s="35"/>
    </row>
    <row r="2364" spans="2:4" x14ac:dyDescent="0.2">
      <c r="B2364" s="35"/>
      <c r="C2364" s="35"/>
      <c r="D2364" s="35"/>
    </row>
    <row r="2365" spans="2:4" x14ac:dyDescent="0.2">
      <c r="B2365" s="35"/>
      <c r="C2365" s="35"/>
      <c r="D2365" s="35"/>
    </row>
    <row r="2366" spans="2:4" x14ac:dyDescent="0.2">
      <c r="B2366" s="35"/>
      <c r="C2366" s="35"/>
      <c r="D2366" s="35"/>
    </row>
    <row r="2367" spans="2:4" x14ac:dyDescent="0.2">
      <c r="B2367" s="35"/>
      <c r="C2367" s="35"/>
      <c r="D2367" s="35"/>
    </row>
    <row r="2368" spans="2:4" x14ac:dyDescent="0.2">
      <c r="B2368" s="35"/>
      <c r="C2368" s="35"/>
      <c r="D2368" s="35"/>
    </row>
    <row r="2369" spans="2:4" x14ac:dyDescent="0.2">
      <c r="B2369" s="35"/>
      <c r="C2369" s="35"/>
      <c r="D2369" s="35"/>
    </row>
    <row r="2370" spans="2:4" x14ac:dyDescent="0.2">
      <c r="B2370" s="35"/>
      <c r="C2370" s="35"/>
      <c r="D2370" s="35"/>
    </row>
    <row r="2371" spans="2:4" x14ac:dyDescent="0.2">
      <c r="B2371" s="35"/>
      <c r="C2371" s="35"/>
      <c r="D2371" s="35"/>
    </row>
    <row r="2372" spans="2:4" x14ac:dyDescent="0.2">
      <c r="B2372" s="35"/>
      <c r="C2372" s="35"/>
      <c r="D2372" s="35"/>
    </row>
    <row r="2373" spans="2:4" x14ac:dyDescent="0.2">
      <c r="B2373" s="35"/>
      <c r="C2373" s="35"/>
      <c r="D2373" s="35"/>
    </row>
    <row r="2374" spans="2:4" x14ac:dyDescent="0.2">
      <c r="B2374" s="35"/>
      <c r="C2374" s="35"/>
      <c r="D2374" s="35"/>
    </row>
    <row r="2375" spans="2:4" x14ac:dyDescent="0.2">
      <c r="B2375" s="35"/>
      <c r="C2375" s="35"/>
      <c r="D2375" s="35"/>
    </row>
    <row r="2376" spans="2:4" x14ac:dyDescent="0.2">
      <c r="B2376" s="35"/>
      <c r="C2376" s="35"/>
      <c r="D2376" s="35"/>
    </row>
    <row r="2377" spans="2:4" x14ac:dyDescent="0.2">
      <c r="B2377" s="35"/>
      <c r="C2377" s="35"/>
      <c r="D2377" s="35"/>
    </row>
    <row r="2378" spans="2:4" x14ac:dyDescent="0.2">
      <c r="B2378" s="35"/>
      <c r="C2378" s="35"/>
      <c r="D2378" s="35"/>
    </row>
    <row r="2379" spans="2:4" x14ac:dyDescent="0.2">
      <c r="B2379" s="35"/>
      <c r="C2379" s="35"/>
      <c r="D2379" s="35"/>
    </row>
    <row r="2380" spans="2:4" x14ac:dyDescent="0.2">
      <c r="B2380" s="35"/>
      <c r="C2380" s="35"/>
      <c r="D2380" s="35"/>
    </row>
    <row r="2381" spans="2:4" x14ac:dyDescent="0.2">
      <c r="B2381" s="35"/>
      <c r="C2381" s="35"/>
      <c r="D2381" s="35"/>
    </row>
    <row r="2382" spans="2:4" x14ac:dyDescent="0.2">
      <c r="B2382" s="35"/>
      <c r="C2382" s="35"/>
      <c r="D2382" s="35"/>
    </row>
    <row r="2383" spans="2:4" x14ac:dyDescent="0.2">
      <c r="B2383" s="35"/>
      <c r="C2383" s="35"/>
      <c r="D2383" s="35"/>
    </row>
    <row r="2384" spans="2:4" x14ac:dyDescent="0.2">
      <c r="B2384" s="35"/>
      <c r="C2384" s="35"/>
      <c r="D2384" s="35"/>
    </row>
    <row r="2385" spans="2:4" x14ac:dyDescent="0.2">
      <c r="B2385" s="35"/>
      <c r="C2385" s="35"/>
      <c r="D2385" s="35"/>
    </row>
    <row r="2386" spans="2:4" x14ac:dyDescent="0.2">
      <c r="B2386" s="35"/>
      <c r="C2386" s="35"/>
      <c r="D2386" s="35"/>
    </row>
    <row r="2387" spans="2:4" x14ac:dyDescent="0.2">
      <c r="B2387" s="35"/>
      <c r="C2387" s="35"/>
      <c r="D2387" s="35"/>
    </row>
    <row r="2388" spans="2:4" x14ac:dyDescent="0.2">
      <c r="B2388" s="35"/>
      <c r="C2388" s="35"/>
      <c r="D2388" s="35"/>
    </row>
    <row r="2389" spans="2:4" x14ac:dyDescent="0.2">
      <c r="B2389" s="35"/>
      <c r="C2389" s="35"/>
      <c r="D2389" s="35"/>
    </row>
    <row r="2390" spans="2:4" x14ac:dyDescent="0.2">
      <c r="B2390" s="35"/>
      <c r="C2390" s="35"/>
      <c r="D2390" s="35"/>
    </row>
    <row r="2391" spans="2:4" x14ac:dyDescent="0.2">
      <c r="B2391" s="35"/>
      <c r="C2391" s="35"/>
      <c r="D2391" s="35"/>
    </row>
    <row r="2392" spans="2:4" x14ac:dyDescent="0.2">
      <c r="B2392" s="35"/>
      <c r="C2392" s="35"/>
      <c r="D2392" s="35"/>
    </row>
    <row r="2393" spans="2:4" x14ac:dyDescent="0.2">
      <c r="B2393" s="35"/>
      <c r="C2393" s="35"/>
      <c r="D2393" s="35"/>
    </row>
    <row r="2394" spans="2:4" x14ac:dyDescent="0.2">
      <c r="B2394" s="35"/>
      <c r="C2394" s="35"/>
      <c r="D2394" s="35"/>
    </row>
    <row r="2395" spans="2:4" x14ac:dyDescent="0.2">
      <c r="B2395" s="35"/>
      <c r="C2395" s="35"/>
      <c r="D2395" s="35"/>
    </row>
    <row r="2396" spans="2:4" x14ac:dyDescent="0.2">
      <c r="B2396" s="35"/>
      <c r="C2396" s="35"/>
      <c r="D2396" s="35"/>
    </row>
    <row r="2397" spans="2:4" x14ac:dyDescent="0.2">
      <c r="B2397" s="35"/>
      <c r="C2397" s="35"/>
      <c r="D2397" s="35"/>
    </row>
    <row r="2398" spans="2:4" x14ac:dyDescent="0.2">
      <c r="B2398" s="35"/>
      <c r="C2398" s="35"/>
      <c r="D2398" s="35"/>
    </row>
    <row r="2399" spans="2:4" x14ac:dyDescent="0.2">
      <c r="B2399" s="35"/>
      <c r="C2399" s="35"/>
      <c r="D2399" s="35"/>
    </row>
    <row r="2400" spans="2:4" x14ac:dyDescent="0.2">
      <c r="B2400" s="35"/>
      <c r="C2400" s="35"/>
      <c r="D2400" s="35"/>
    </row>
    <row r="2401" spans="2:4" x14ac:dyDescent="0.2">
      <c r="B2401" s="35"/>
      <c r="C2401" s="35"/>
      <c r="D2401" s="35"/>
    </row>
    <row r="2402" spans="2:4" x14ac:dyDescent="0.2">
      <c r="B2402" s="35"/>
      <c r="C2402" s="35"/>
      <c r="D2402" s="35"/>
    </row>
    <row r="2403" spans="2:4" x14ac:dyDescent="0.2">
      <c r="B2403" s="35"/>
      <c r="C2403" s="35"/>
      <c r="D2403" s="35"/>
    </row>
    <row r="2404" spans="2:4" x14ac:dyDescent="0.2">
      <c r="B2404" s="35"/>
      <c r="C2404" s="35"/>
      <c r="D2404" s="35"/>
    </row>
    <row r="2405" spans="2:4" x14ac:dyDescent="0.2">
      <c r="B2405" s="35"/>
      <c r="C2405" s="35"/>
      <c r="D2405" s="35"/>
    </row>
    <row r="2406" spans="2:4" x14ac:dyDescent="0.2">
      <c r="B2406" s="35"/>
      <c r="C2406" s="35"/>
      <c r="D2406" s="35"/>
    </row>
    <row r="2407" spans="2:4" x14ac:dyDescent="0.2">
      <c r="B2407" s="35"/>
      <c r="C2407" s="35"/>
      <c r="D2407" s="35"/>
    </row>
    <row r="2408" spans="2:4" x14ac:dyDescent="0.2">
      <c r="B2408" s="35"/>
      <c r="C2408" s="35"/>
      <c r="D2408" s="35"/>
    </row>
    <row r="2409" spans="2:4" x14ac:dyDescent="0.2">
      <c r="B2409" s="35"/>
      <c r="C2409" s="35"/>
      <c r="D2409" s="35"/>
    </row>
    <row r="2410" spans="2:4" x14ac:dyDescent="0.2">
      <c r="B2410" s="35"/>
      <c r="C2410" s="35"/>
      <c r="D2410" s="35"/>
    </row>
    <row r="2411" spans="2:4" x14ac:dyDescent="0.2">
      <c r="B2411" s="35"/>
      <c r="C2411" s="35"/>
      <c r="D2411" s="35"/>
    </row>
    <row r="2412" spans="2:4" x14ac:dyDescent="0.2">
      <c r="B2412" s="35"/>
      <c r="C2412" s="35"/>
      <c r="D2412" s="35"/>
    </row>
    <row r="2413" spans="2:4" x14ac:dyDescent="0.2">
      <c r="B2413" s="35"/>
      <c r="C2413" s="35"/>
      <c r="D2413" s="35"/>
    </row>
    <row r="2414" spans="2:4" x14ac:dyDescent="0.2">
      <c r="B2414" s="35"/>
      <c r="C2414" s="35"/>
      <c r="D2414" s="35"/>
    </row>
    <row r="2415" spans="2:4" x14ac:dyDescent="0.2">
      <c r="B2415" s="35"/>
      <c r="C2415" s="35"/>
      <c r="D2415" s="35"/>
    </row>
    <row r="2416" spans="2:4" x14ac:dyDescent="0.2">
      <c r="B2416" s="35"/>
      <c r="C2416" s="35"/>
      <c r="D2416" s="35"/>
    </row>
    <row r="2417" spans="2:4" x14ac:dyDescent="0.2">
      <c r="B2417" s="35"/>
      <c r="C2417" s="35"/>
      <c r="D2417" s="35"/>
    </row>
    <row r="2418" spans="2:4" x14ac:dyDescent="0.2">
      <c r="B2418" s="35"/>
      <c r="C2418" s="35"/>
      <c r="D2418" s="35"/>
    </row>
    <row r="2419" spans="2:4" x14ac:dyDescent="0.2">
      <c r="B2419" s="35"/>
      <c r="C2419" s="35"/>
      <c r="D2419" s="35"/>
    </row>
    <row r="2420" spans="2:4" x14ac:dyDescent="0.2">
      <c r="B2420" s="35"/>
      <c r="C2420" s="35"/>
      <c r="D2420" s="35"/>
    </row>
    <row r="2421" spans="2:4" x14ac:dyDescent="0.2">
      <c r="B2421" s="35"/>
      <c r="C2421" s="35"/>
      <c r="D2421" s="35"/>
    </row>
    <row r="2422" spans="2:4" x14ac:dyDescent="0.2">
      <c r="B2422" s="35"/>
      <c r="C2422" s="35"/>
      <c r="D2422" s="35"/>
    </row>
    <row r="2423" spans="2:4" x14ac:dyDescent="0.2">
      <c r="B2423" s="35"/>
      <c r="C2423" s="35"/>
      <c r="D2423" s="35"/>
    </row>
    <row r="2424" spans="2:4" x14ac:dyDescent="0.2">
      <c r="B2424" s="35"/>
      <c r="C2424" s="35"/>
      <c r="D2424" s="35"/>
    </row>
    <row r="2425" spans="2:4" x14ac:dyDescent="0.2">
      <c r="B2425" s="35"/>
      <c r="C2425" s="35"/>
      <c r="D2425" s="35"/>
    </row>
    <row r="2426" spans="2:4" x14ac:dyDescent="0.2">
      <c r="B2426" s="35"/>
      <c r="C2426" s="35"/>
      <c r="D2426" s="35"/>
    </row>
    <row r="2427" spans="2:4" x14ac:dyDescent="0.2">
      <c r="B2427" s="35"/>
      <c r="C2427" s="35"/>
      <c r="D2427" s="35"/>
    </row>
    <row r="2428" spans="2:4" x14ac:dyDescent="0.2">
      <c r="B2428" s="35"/>
      <c r="C2428" s="35"/>
      <c r="D2428" s="35"/>
    </row>
    <row r="2429" spans="2:4" x14ac:dyDescent="0.2">
      <c r="B2429" s="35"/>
      <c r="C2429" s="35"/>
      <c r="D2429" s="35"/>
    </row>
    <row r="2430" spans="2:4" x14ac:dyDescent="0.2">
      <c r="B2430" s="35"/>
      <c r="C2430" s="35"/>
      <c r="D2430" s="35"/>
    </row>
    <row r="2431" spans="2:4" x14ac:dyDescent="0.2">
      <c r="B2431" s="35"/>
      <c r="C2431" s="35"/>
      <c r="D2431" s="35"/>
    </row>
    <row r="2432" spans="2:4" x14ac:dyDescent="0.2">
      <c r="B2432" s="35"/>
      <c r="C2432" s="35"/>
      <c r="D2432" s="35"/>
    </row>
    <row r="2433" spans="2:4" x14ac:dyDescent="0.2">
      <c r="B2433" s="35"/>
      <c r="C2433" s="35"/>
      <c r="D2433" s="35"/>
    </row>
    <row r="2434" spans="2:4" x14ac:dyDescent="0.2">
      <c r="B2434" s="35"/>
      <c r="C2434" s="35"/>
      <c r="D2434" s="35"/>
    </row>
    <row r="2435" spans="2:4" x14ac:dyDescent="0.2">
      <c r="B2435" s="35"/>
      <c r="C2435" s="35"/>
      <c r="D2435" s="35"/>
    </row>
    <row r="2436" spans="2:4" x14ac:dyDescent="0.2">
      <c r="B2436" s="35"/>
      <c r="C2436" s="35"/>
      <c r="D2436" s="35"/>
    </row>
    <row r="2437" spans="2:4" x14ac:dyDescent="0.2">
      <c r="B2437" s="35"/>
      <c r="C2437" s="35"/>
      <c r="D2437" s="35"/>
    </row>
    <row r="2438" spans="2:4" x14ac:dyDescent="0.2">
      <c r="B2438" s="35"/>
      <c r="C2438" s="35"/>
      <c r="D2438" s="35"/>
    </row>
    <row r="2439" spans="2:4" x14ac:dyDescent="0.2">
      <c r="B2439" s="35"/>
      <c r="C2439" s="35"/>
      <c r="D2439" s="35"/>
    </row>
    <row r="2440" spans="2:4" x14ac:dyDescent="0.2">
      <c r="B2440" s="35"/>
      <c r="C2440" s="35"/>
      <c r="D2440" s="35"/>
    </row>
    <row r="2441" spans="2:4" x14ac:dyDescent="0.2">
      <c r="B2441" s="35"/>
      <c r="C2441" s="35"/>
      <c r="D2441" s="35"/>
    </row>
    <row r="2442" spans="2:4" x14ac:dyDescent="0.2">
      <c r="B2442" s="35"/>
      <c r="C2442" s="35"/>
      <c r="D2442" s="35"/>
    </row>
    <row r="2443" spans="2:4" x14ac:dyDescent="0.2">
      <c r="B2443" s="35"/>
      <c r="C2443" s="35"/>
      <c r="D2443" s="35"/>
    </row>
    <row r="2444" spans="2:4" x14ac:dyDescent="0.2">
      <c r="B2444" s="35"/>
      <c r="C2444" s="35"/>
      <c r="D2444" s="35"/>
    </row>
    <row r="2445" spans="2:4" x14ac:dyDescent="0.2">
      <c r="B2445" s="35"/>
      <c r="C2445" s="35"/>
      <c r="D2445" s="35"/>
    </row>
    <row r="2446" spans="2:4" x14ac:dyDescent="0.2">
      <c r="B2446" s="35"/>
      <c r="C2446" s="35"/>
      <c r="D2446" s="35"/>
    </row>
    <row r="2447" spans="2:4" x14ac:dyDescent="0.2">
      <c r="B2447" s="35"/>
      <c r="C2447" s="35"/>
      <c r="D2447" s="35"/>
    </row>
    <row r="2448" spans="2:4" x14ac:dyDescent="0.2">
      <c r="B2448" s="35"/>
      <c r="C2448" s="35"/>
      <c r="D2448" s="35"/>
    </row>
    <row r="2449" spans="2:4" x14ac:dyDescent="0.2">
      <c r="B2449" s="35"/>
      <c r="C2449" s="35"/>
      <c r="D2449" s="35"/>
    </row>
    <row r="2450" spans="2:4" x14ac:dyDescent="0.2">
      <c r="B2450" s="35"/>
      <c r="C2450" s="35"/>
      <c r="D2450" s="35"/>
    </row>
    <row r="2451" spans="2:4" x14ac:dyDescent="0.2">
      <c r="B2451" s="35"/>
      <c r="C2451" s="35"/>
      <c r="D2451" s="35"/>
    </row>
    <row r="2452" spans="2:4" x14ac:dyDescent="0.2">
      <c r="B2452" s="35"/>
      <c r="C2452" s="35"/>
      <c r="D2452" s="35"/>
    </row>
    <row r="2453" spans="2:4" x14ac:dyDescent="0.2">
      <c r="B2453" s="35"/>
      <c r="C2453" s="35"/>
      <c r="D2453" s="35"/>
    </row>
    <row r="2454" spans="2:4" x14ac:dyDescent="0.2">
      <c r="B2454" s="35"/>
      <c r="C2454" s="35"/>
      <c r="D2454" s="35"/>
    </row>
    <row r="2455" spans="2:4" x14ac:dyDescent="0.2">
      <c r="B2455" s="35"/>
      <c r="C2455" s="35"/>
      <c r="D2455" s="35"/>
    </row>
    <row r="2456" spans="2:4" x14ac:dyDescent="0.2">
      <c r="B2456" s="35"/>
      <c r="C2456" s="35"/>
      <c r="D2456" s="35"/>
    </row>
    <row r="2457" spans="2:4" x14ac:dyDescent="0.2">
      <c r="B2457" s="35"/>
      <c r="C2457" s="35"/>
      <c r="D2457" s="35"/>
    </row>
    <row r="2458" spans="2:4" x14ac:dyDescent="0.2">
      <c r="B2458" s="35"/>
      <c r="C2458" s="35"/>
      <c r="D2458" s="35"/>
    </row>
    <row r="2459" spans="2:4" x14ac:dyDescent="0.2">
      <c r="B2459" s="35"/>
      <c r="C2459" s="35"/>
      <c r="D2459" s="35"/>
    </row>
    <row r="2460" spans="2:4" x14ac:dyDescent="0.2">
      <c r="B2460" s="35"/>
      <c r="C2460" s="35"/>
      <c r="D2460" s="35"/>
    </row>
    <row r="2461" spans="2:4" x14ac:dyDescent="0.2">
      <c r="B2461" s="35"/>
      <c r="C2461" s="35"/>
      <c r="D2461" s="35"/>
    </row>
    <row r="2462" spans="2:4" x14ac:dyDescent="0.2">
      <c r="B2462" s="35"/>
      <c r="C2462" s="35"/>
      <c r="D2462" s="35"/>
    </row>
    <row r="2463" spans="2:4" x14ac:dyDescent="0.2">
      <c r="B2463" s="35"/>
      <c r="C2463" s="35"/>
      <c r="D2463" s="35"/>
    </row>
    <row r="2464" spans="2:4" x14ac:dyDescent="0.2">
      <c r="B2464" s="35"/>
      <c r="C2464" s="35"/>
      <c r="D2464" s="35"/>
    </row>
    <row r="2465" spans="2:4" x14ac:dyDescent="0.2">
      <c r="B2465" s="35"/>
      <c r="C2465" s="35"/>
      <c r="D2465" s="35"/>
    </row>
    <row r="2466" spans="2:4" x14ac:dyDescent="0.2">
      <c r="B2466" s="35"/>
      <c r="C2466" s="35"/>
      <c r="D2466" s="35"/>
    </row>
    <row r="2467" spans="2:4" x14ac:dyDescent="0.2">
      <c r="B2467" s="35"/>
      <c r="C2467" s="35"/>
      <c r="D2467" s="35"/>
    </row>
    <row r="2468" spans="2:4" x14ac:dyDescent="0.2">
      <c r="B2468" s="35"/>
      <c r="C2468" s="35"/>
      <c r="D2468" s="35"/>
    </row>
    <row r="2469" spans="2:4" x14ac:dyDescent="0.2">
      <c r="B2469" s="35"/>
      <c r="C2469" s="35"/>
      <c r="D2469" s="35"/>
    </row>
    <row r="2470" spans="2:4" x14ac:dyDescent="0.2">
      <c r="B2470" s="35"/>
      <c r="C2470" s="35"/>
      <c r="D2470" s="35"/>
    </row>
    <row r="2471" spans="2:4" x14ac:dyDescent="0.2">
      <c r="B2471" s="35"/>
      <c r="C2471" s="35"/>
      <c r="D2471" s="35"/>
    </row>
    <row r="2472" spans="2:4" x14ac:dyDescent="0.2">
      <c r="B2472" s="35"/>
      <c r="C2472" s="35"/>
      <c r="D2472" s="35"/>
    </row>
    <row r="2473" spans="2:4" x14ac:dyDescent="0.2">
      <c r="B2473" s="35"/>
      <c r="C2473" s="35"/>
      <c r="D2473" s="35"/>
    </row>
    <row r="2474" spans="2:4" x14ac:dyDescent="0.2">
      <c r="B2474" s="35"/>
      <c r="C2474" s="35"/>
      <c r="D2474" s="35"/>
    </row>
    <row r="2475" spans="2:4" x14ac:dyDescent="0.2">
      <c r="B2475" s="35"/>
      <c r="C2475" s="35"/>
      <c r="D2475" s="35"/>
    </row>
    <row r="2476" spans="2:4" x14ac:dyDescent="0.2">
      <c r="B2476" s="35"/>
      <c r="C2476" s="35"/>
      <c r="D2476" s="35"/>
    </row>
    <row r="2477" spans="2:4" x14ac:dyDescent="0.2">
      <c r="B2477" s="35"/>
      <c r="C2477" s="35"/>
      <c r="D2477" s="35"/>
    </row>
    <row r="2478" spans="2:4" x14ac:dyDescent="0.2">
      <c r="B2478" s="35"/>
      <c r="C2478" s="35"/>
      <c r="D2478" s="35"/>
    </row>
    <row r="2479" spans="2:4" x14ac:dyDescent="0.2">
      <c r="B2479" s="35"/>
      <c r="C2479" s="35"/>
      <c r="D2479" s="35"/>
    </row>
    <row r="2480" spans="2:4" x14ac:dyDescent="0.2">
      <c r="B2480" s="35"/>
      <c r="C2480" s="35"/>
      <c r="D2480" s="35"/>
    </row>
    <row r="2481" spans="2:4" x14ac:dyDescent="0.2">
      <c r="B2481" s="35"/>
      <c r="C2481" s="35"/>
      <c r="D2481" s="35"/>
    </row>
    <row r="2482" spans="2:4" x14ac:dyDescent="0.2">
      <c r="B2482" s="35"/>
      <c r="C2482" s="35"/>
      <c r="D2482" s="35"/>
    </row>
    <row r="2483" spans="2:4" x14ac:dyDescent="0.2">
      <c r="B2483" s="35"/>
      <c r="C2483" s="35"/>
      <c r="D2483" s="35"/>
    </row>
    <row r="2484" spans="2:4" x14ac:dyDescent="0.2">
      <c r="B2484" s="35"/>
      <c r="C2484" s="35"/>
      <c r="D2484" s="35"/>
    </row>
    <row r="2485" spans="2:4" x14ac:dyDescent="0.2">
      <c r="B2485" s="35"/>
      <c r="C2485" s="35"/>
      <c r="D2485" s="35"/>
    </row>
    <row r="2486" spans="2:4" x14ac:dyDescent="0.2">
      <c r="B2486" s="35"/>
      <c r="C2486" s="35"/>
      <c r="D2486" s="35"/>
    </row>
    <row r="2487" spans="2:4" x14ac:dyDescent="0.2">
      <c r="B2487" s="35"/>
      <c r="C2487" s="35"/>
      <c r="D2487" s="35"/>
    </row>
    <row r="2488" spans="2:4" x14ac:dyDescent="0.2">
      <c r="B2488" s="35"/>
      <c r="C2488" s="35"/>
      <c r="D2488" s="35"/>
    </row>
    <row r="2489" spans="2:4" x14ac:dyDescent="0.2">
      <c r="B2489" s="35"/>
      <c r="C2489" s="35"/>
      <c r="D2489" s="35"/>
    </row>
    <row r="2490" spans="2:4" x14ac:dyDescent="0.2">
      <c r="B2490" s="35"/>
      <c r="C2490" s="35"/>
      <c r="D2490" s="35"/>
    </row>
    <row r="2491" spans="2:4" x14ac:dyDescent="0.2">
      <c r="B2491" s="35"/>
      <c r="C2491" s="35"/>
      <c r="D2491" s="35"/>
    </row>
    <row r="2492" spans="2:4" x14ac:dyDescent="0.2">
      <c r="B2492" s="35"/>
      <c r="C2492" s="35"/>
      <c r="D2492" s="35"/>
    </row>
    <row r="2493" spans="2:4" x14ac:dyDescent="0.2">
      <c r="B2493" s="35"/>
      <c r="C2493" s="35"/>
      <c r="D2493" s="35"/>
    </row>
    <row r="2494" spans="2:4" x14ac:dyDescent="0.2">
      <c r="B2494" s="35"/>
      <c r="C2494" s="35"/>
      <c r="D2494" s="35"/>
    </row>
    <row r="2495" spans="2:4" x14ac:dyDescent="0.2">
      <c r="B2495" s="35"/>
      <c r="C2495" s="35"/>
      <c r="D2495" s="35"/>
    </row>
    <row r="2496" spans="2:4" x14ac:dyDescent="0.2">
      <c r="B2496" s="35"/>
      <c r="C2496" s="35"/>
      <c r="D2496" s="35"/>
    </row>
    <row r="2497" spans="2:4" x14ac:dyDescent="0.2">
      <c r="B2497" s="35"/>
      <c r="C2497" s="35"/>
      <c r="D2497" s="35"/>
    </row>
    <row r="2498" spans="2:4" x14ac:dyDescent="0.2">
      <c r="B2498" s="35"/>
      <c r="C2498" s="35"/>
      <c r="D2498" s="35"/>
    </row>
    <row r="2499" spans="2:4" x14ac:dyDescent="0.2">
      <c r="B2499" s="35"/>
      <c r="C2499" s="35"/>
      <c r="D2499" s="35"/>
    </row>
    <row r="2500" spans="2:4" x14ac:dyDescent="0.2">
      <c r="B2500" s="35"/>
      <c r="C2500" s="35"/>
      <c r="D2500" s="35"/>
    </row>
    <row r="2501" spans="2:4" x14ac:dyDescent="0.2">
      <c r="B2501" s="35"/>
      <c r="C2501" s="35"/>
      <c r="D2501" s="35"/>
    </row>
    <row r="2502" spans="2:4" x14ac:dyDescent="0.2">
      <c r="B2502" s="35"/>
      <c r="C2502" s="35"/>
      <c r="D2502" s="35"/>
    </row>
    <row r="2503" spans="2:4" x14ac:dyDescent="0.2">
      <c r="B2503" s="35"/>
      <c r="C2503" s="35"/>
      <c r="D2503" s="35"/>
    </row>
    <row r="2504" spans="2:4" x14ac:dyDescent="0.2">
      <c r="B2504" s="35"/>
      <c r="C2504" s="35"/>
      <c r="D2504" s="35"/>
    </row>
    <row r="2505" spans="2:4" x14ac:dyDescent="0.2">
      <c r="B2505" s="35"/>
      <c r="C2505" s="35"/>
      <c r="D2505" s="35"/>
    </row>
    <row r="2506" spans="2:4" x14ac:dyDescent="0.2">
      <c r="B2506" s="35"/>
      <c r="C2506" s="35"/>
      <c r="D2506" s="35"/>
    </row>
    <row r="2507" spans="2:4" x14ac:dyDescent="0.2">
      <c r="B2507" s="35"/>
      <c r="C2507" s="35"/>
      <c r="D2507" s="35"/>
    </row>
    <row r="2508" spans="2:4" x14ac:dyDescent="0.2">
      <c r="B2508" s="35"/>
      <c r="C2508" s="35"/>
      <c r="D2508" s="35"/>
    </row>
    <row r="2509" spans="2:4" x14ac:dyDescent="0.2">
      <c r="B2509" s="35"/>
      <c r="C2509" s="35"/>
      <c r="D2509" s="35"/>
    </row>
    <row r="2510" spans="2:4" x14ac:dyDescent="0.2">
      <c r="B2510" s="35"/>
      <c r="C2510" s="35"/>
      <c r="D2510" s="35"/>
    </row>
    <row r="2511" spans="2:4" x14ac:dyDescent="0.2">
      <c r="B2511" s="35"/>
      <c r="C2511" s="35"/>
      <c r="D2511" s="35"/>
    </row>
    <row r="2512" spans="2:4" x14ac:dyDescent="0.2">
      <c r="B2512" s="35"/>
      <c r="C2512" s="35"/>
      <c r="D2512" s="35"/>
    </row>
    <row r="2513" spans="2:4" x14ac:dyDescent="0.2">
      <c r="B2513" s="35"/>
      <c r="C2513" s="35"/>
      <c r="D2513" s="35"/>
    </row>
    <row r="2514" spans="2:4" x14ac:dyDescent="0.2">
      <c r="B2514" s="35"/>
      <c r="C2514" s="35"/>
      <c r="D2514" s="35"/>
    </row>
    <row r="2515" spans="2:4" x14ac:dyDescent="0.2">
      <c r="B2515" s="35"/>
      <c r="C2515" s="35"/>
      <c r="D2515" s="35"/>
    </row>
    <row r="2516" spans="2:4" x14ac:dyDescent="0.2">
      <c r="B2516" s="35"/>
      <c r="C2516" s="35"/>
      <c r="D2516" s="35"/>
    </row>
    <row r="2517" spans="2:4" x14ac:dyDescent="0.2">
      <c r="B2517" s="35"/>
      <c r="C2517" s="35"/>
      <c r="D2517" s="35"/>
    </row>
    <row r="2518" spans="2:4" x14ac:dyDescent="0.2">
      <c r="B2518" s="35"/>
      <c r="C2518" s="35"/>
      <c r="D2518" s="35"/>
    </row>
    <row r="2519" spans="2:4" x14ac:dyDescent="0.2">
      <c r="B2519" s="35"/>
      <c r="C2519" s="35"/>
      <c r="D2519" s="35"/>
    </row>
    <row r="2520" spans="2:4" x14ac:dyDescent="0.2">
      <c r="B2520" s="35"/>
      <c r="C2520" s="35"/>
      <c r="D2520" s="35"/>
    </row>
    <row r="2521" spans="2:4" x14ac:dyDescent="0.2">
      <c r="B2521" s="35"/>
      <c r="C2521" s="35"/>
      <c r="D2521" s="35"/>
    </row>
    <row r="2522" spans="2:4" x14ac:dyDescent="0.2">
      <c r="B2522" s="35"/>
      <c r="C2522" s="35"/>
      <c r="D2522" s="35"/>
    </row>
    <row r="2523" spans="2:4" x14ac:dyDescent="0.2">
      <c r="B2523" s="35"/>
      <c r="C2523" s="35"/>
      <c r="D2523" s="35"/>
    </row>
    <row r="2524" spans="2:4" x14ac:dyDescent="0.2">
      <c r="B2524" s="35"/>
      <c r="C2524" s="35"/>
      <c r="D2524" s="35"/>
    </row>
    <row r="2525" spans="2:4" x14ac:dyDescent="0.2">
      <c r="B2525" s="35"/>
      <c r="C2525" s="35"/>
      <c r="D2525" s="35"/>
    </row>
    <row r="2526" spans="2:4" x14ac:dyDescent="0.2">
      <c r="B2526" s="35"/>
      <c r="C2526" s="35"/>
      <c r="D2526" s="35"/>
    </row>
    <row r="2527" spans="2:4" x14ac:dyDescent="0.2">
      <c r="B2527" s="35"/>
      <c r="C2527" s="35"/>
      <c r="D2527" s="35"/>
    </row>
    <row r="2528" spans="2:4" x14ac:dyDescent="0.2">
      <c r="B2528" s="35"/>
      <c r="C2528" s="35"/>
      <c r="D2528" s="35"/>
    </row>
    <row r="2529" spans="2:4" x14ac:dyDescent="0.2">
      <c r="B2529" s="35"/>
      <c r="C2529" s="35"/>
      <c r="D2529" s="35"/>
    </row>
    <row r="2530" spans="2:4" x14ac:dyDescent="0.2">
      <c r="B2530" s="35"/>
      <c r="C2530" s="35"/>
      <c r="D2530" s="35"/>
    </row>
  </sheetData>
  <sheetProtection formatCells="0" formatColumns="0" formatRows="0" deleteColumns="0" deleteRows="0"/>
  <mergeCells count="31">
    <mergeCell ref="A29:D29"/>
    <mergeCell ref="G29:I29"/>
    <mergeCell ref="E26:G26"/>
    <mergeCell ref="E27:G27"/>
    <mergeCell ref="F25:H25"/>
    <mergeCell ref="A27:D27"/>
    <mergeCell ref="A26:D26"/>
    <mergeCell ref="A25:D25"/>
    <mergeCell ref="A24:D24"/>
    <mergeCell ref="A19:D19"/>
    <mergeCell ref="A22:D22"/>
    <mergeCell ref="A20:D20"/>
    <mergeCell ref="E17:G17"/>
    <mergeCell ref="A17:D17"/>
    <mergeCell ref="E19:G19"/>
    <mergeCell ref="F24:H24"/>
    <mergeCell ref="A12:D12"/>
    <mergeCell ref="A21:D21"/>
    <mergeCell ref="A16:D16"/>
    <mergeCell ref="A1:D1"/>
    <mergeCell ref="A4:D4"/>
    <mergeCell ref="A6:D6"/>
    <mergeCell ref="A8:D8"/>
    <mergeCell ref="A11:D11"/>
    <mergeCell ref="A9:D9"/>
    <mergeCell ref="A5:D5"/>
    <mergeCell ref="A10:D10"/>
    <mergeCell ref="A7:D7"/>
    <mergeCell ref="A13:D13"/>
    <mergeCell ref="A14:D14"/>
    <mergeCell ref="A15:D15"/>
  </mergeCells>
  <phoneticPr fontId="15" type="noConversion"/>
  <pageMargins left="0.74803149606299213" right="0.74803149606299213" top="0.98425196850393704" bottom="0.98425196850393704" header="0.51181102362204722" footer="0.51181102362204722"/>
  <pageSetup paperSize="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F169"/>
  <sheetViews>
    <sheetView workbookViewId="0">
      <selection activeCell="A3" sqref="A3"/>
    </sheetView>
  </sheetViews>
  <sheetFormatPr defaultColWidth="9.140625" defaultRowHeight="12.75" x14ac:dyDescent="0.2"/>
  <cols>
    <col min="1" max="1" width="18.140625" style="75" bestFit="1" customWidth="1"/>
    <col min="2" max="2" width="9.140625" style="75"/>
    <col min="3" max="3" width="22.28515625" style="75" bestFit="1" customWidth="1"/>
    <col min="4" max="16384" width="9.140625" style="75"/>
  </cols>
  <sheetData>
    <row r="1" spans="1:6" x14ac:dyDescent="0.2">
      <c r="A1" s="89" t="s">
        <v>179</v>
      </c>
      <c r="B1" s="89" t="s">
        <v>180</v>
      </c>
      <c r="C1" s="90" t="s">
        <v>51</v>
      </c>
      <c r="F1" s="95" t="s">
        <v>322</v>
      </c>
    </row>
    <row r="2" spans="1:6" x14ac:dyDescent="0.2">
      <c r="A2" s="75" t="s">
        <v>402</v>
      </c>
      <c r="C2" s="36" t="s">
        <v>52</v>
      </c>
      <c r="F2" s="75">
        <v>3.15</v>
      </c>
    </row>
    <row r="3" spans="1:6" x14ac:dyDescent="0.2">
      <c r="A3" s="91" t="s">
        <v>181</v>
      </c>
      <c r="C3" s="94" t="s">
        <v>321</v>
      </c>
      <c r="F3" s="75">
        <v>8</v>
      </c>
    </row>
    <row r="4" spans="1:6" x14ac:dyDescent="0.2">
      <c r="A4" s="92" t="s">
        <v>182</v>
      </c>
      <c r="C4" s="36" t="s">
        <v>53</v>
      </c>
      <c r="F4" s="75">
        <v>16</v>
      </c>
    </row>
    <row r="5" spans="1:6" x14ac:dyDescent="0.2">
      <c r="A5" s="92" t="s">
        <v>183</v>
      </c>
      <c r="C5" s="36" t="s">
        <v>54</v>
      </c>
      <c r="F5" s="75">
        <v>20</v>
      </c>
    </row>
    <row r="6" spans="1:6" x14ac:dyDescent="0.2">
      <c r="A6" s="92" t="s">
        <v>184</v>
      </c>
      <c r="C6" s="36" t="s">
        <v>59</v>
      </c>
      <c r="F6" s="75">
        <v>40</v>
      </c>
    </row>
    <row r="7" spans="1:6" x14ac:dyDescent="0.2">
      <c r="A7" s="75" t="s">
        <v>403</v>
      </c>
      <c r="C7" s="65" t="s">
        <v>108</v>
      </c>
      <c r="F7" s="75">
        <v>100</v>
      </c>
    </row>
    <row r="8" spans="1:6" x14ac:dyDescent="0.2">
      <c r="A8" s="92" t="s">
        <v>185</v>
      </c>
      <c r="C8" s="65" t="s">
        <v>109</v>
      </c>
    </row>
    <row r="9" spans="1:6" x14ac:dyDescent="0.2">
      <c r="A9" s="92" t="s">
        <v>186</v>
      </c>
      <c r="C9" s="65" t="s">
        <v>50</v>
      </c>
    </row>
    <row r="10" spans="1:6" x14ac:dyDescent="0.2">
      <c r="A10" s="92" t="s">
        <v>187</v>
      </c>
    </row>
    <row r="11" spans="1:6" x14ac:dyDescent="0.2">
      <c r="A11" s="92" t="s">
        <v>188</v>
      </c>
    </row>
    <row r="12" spans="1:6" x14ac:dyDescent="0.2">
      <c r="A12" s="92" t="s">
        <v>189</v>
      </c>
    </row>
    <row r="13" spans="1:6" x14ac:dyDescent="0.2">
      <c r="A13" s="92" t="s">
        <v>190</v>
      </c>
    </row>
    <row r="14" spans="1:6" x14ac:dyDescent="0.2">
      <c r="A14" s="92" t="s">
        <v>191</v>
      </c>
    </row>
    <row r="15" spans="1:6" x14ac:dyDescent="0.2">
      <c r="A15" s="92" t="s">
        <v>192</v>
      </c>
    </row>
    <row r="16" spans="1:6" x14ac:dyDescent="0.2">
      <c r="A16" s="92" t="s">
        <v>193</v>
      </c>
    </row>
    <row r="17" spans="1:1" x14ac:dyDescent="0.2">
      <c r="A17" s="92" t="s">
        <v>194</v>
      </c>
    </row>
    <row r="18" spans="1:1" x14ac:dyDescent="0.2">
      <c r="A18" s="92" t="s">
        <v>195</v>
      </c>
    </row>
    <row r="19" spans="1:1" x14ac:dyDescent="0.2">
      <c r="A19" s="92" t="s">
        <v>196</v>
      </c>
    </row>
    <row r="20" spans="1:1" x14ac:dyDescent="0.2">
      <c r="A20" s="92" t="s">
        <v>197</v>
      </c>
    </row>
    <row r="21" spans="1:1" x14ac:dyDescent="0.2">
      <c r="A21" s="92" t="s">
        <v>198</v>
      </c>
    </row>
    <row r="22" spans="1:1" x14ac:dyDescent="0.2">
      <c r="A22" s="92" t="s">
        <v>199</v>
      </c>
    </row>
    <row r="23" spans="1:1" x14ac:dyDescent="0.2">
      <c r="A23" s="92" t="s">
        <v>200</v>
      </c>
    </row>
    <row r="24" spans="1:1" x14ac:dyDescent="0.2">
      <c r="A24" s="92" t="s">
        <v>201</v>
      </c>
    </row>
    <row r="25" spans="1:1" x14ac:dyDescent="0.2">
      <c r="A25" s="92" t="s">
        <v>202</v>
      </c>
    </row>
    <row r="26" spans="1:1" x14ac:dyDescent="0.2">
      <c r="A26" s="92" t="s">
        <v>203</v>
      </c>
    </row>
    <row r="27" spans="1:1" x14ac:dyDescent="0.2">
      <c r="A27" s="92" t="s">
        <v>204</v>
      </c>
    </row>
    <row r="28" spans="1:1" x14ac:dyDescent="0.2">
      <c r="A28" s="92" t="s">
        <v>205</v>
      </c>
    </row>
    <row r="29" spans="1:1" x14ac:dyDescent="0.2">
      <c r="A29" s="92" t="s">
        <v>206</v>
      </c>
    </row>
    <row r="30" spans="1:1" x14ac:dyDescent="0.2">
      <c r="A30" s="75" t="s">
        <v>404</v>
      </c>
    </row>
    <row r="31" spans="1:1" x14ac:dyDescent="0.2">
      <c r="A31" s="92" t="s">
        <v>207</v>
      </c>
    </row>
    <row r="32" spans="1:1" x14ac:dyDescent="0.2">
      <c r="A32" s="75" t="s">
        <v>405</v>
      </c>
    </row>
    <row r="33" spans="1:1" x14ac:dyDescent="0.2">
      <c r="A33" s="75" t="s">
        <v>406</v>
      </c>
    </row>
    <row r="34" spans="1:1" x14ac:dyDescent="0.2">
      <c r="A34" s="75" t="s">
        <v>407</v>
      </c>
    </row>
    <row r="35" spans="1:1" x14ac:dyDescent="0.2">
      <c r="A35" s="75" t="s">
        <v>408</v>
      </c>
    </row>
    <row r="36" spans="1:1" x14ac:dyDescent="0.2">
      <c r="A36" s="92" t="s">
        <v>208</v>
      </c>
    </row>
    <row r="37" spans="1:1" x14ac:dyDescent="0.2">
      <c r="A37" s="92" t="s">
        <v>209</v>
      </c>
    </row>
    <row r="38" spans="1:1" x14ac:dyDescent="0.2">
      <c r="A38" s="92" t="s">
        <v>210</v>
      </c>
    </row>
    <row r="39" spans="1:1" x14ac:dyDescent="0.2">
      <c r="A39" s="92" t="s">
        <v>211</v>
      </c>
    </row>
    <row r="40" spans="1:1" x14ac:dyDescent="0.2">
      <c r="A40" s="92" t="s">
        <v>212</v>
      </c>
    </row>
    <row r="41" spans="1:1" x14ac:dyDescent="0.2">
      <c r="A41" s="92" t="s">
        <v>213</v>
      </c>
    </row>
    <row r="42" spans="1:1" x14ac:dyDescent="0.2">
      <c r="A42" s="92" t="s">
        <v>214</v>
      </c>
    </row>
    <row r="43" spans="1:1" x14ac:dyDescent="0.2">
      <c r="A43" s="75" t="s">
        <v>409</v>
      </c>
    </row>
    <row r="44" spans="1:1" x14ac:dyDescent="0.2">
      <c r="A44" s="92" t="s">
        <v>215</v>
      </c>
    </row>
    <row r="45" spans="1:1" x14ac:dyDescent="0.2">
      <c r="A45" s="92" t="s">
        <v>401</v>
      </c>
    </row>
    <row r="46" spans="1:1" x14ac:dyDescent="0.2">
      <c r="A46" s="92" t="s">
        <v>216</v>
      </c>
    </row>
    <row r="47" spans="1:1" x14ac:dyDescent="0.2">
      <c r="A47" s="75" t="s">
        <v>410</v>
      </c>
    </row>
    <row r="48" spans="1:1" x14ac:dyDescent="0.2">
      <c r="A48" s="75" t="s">
        <v>411</v>
      </c>
    </row>
    <row r="49" spans="1:1" x14ac:dyDescent="0.2">
      <c r="A49" s="75" t="s">
        <v>412</v>
      </c>
    </row>
    <row r="50" spans="1:1" x14ac:dyDescent="0.2">
      <c r="A50" s="92" t="s">
        <v>217</v>
      </c>
    </row>
    <row r="51" spans="1:1" x14ac:dyDescent="0.2">
      <c r="A51" s="92" t="s">
        <v>218</v>
      </c>
    </row>
    <row r="52" spans="1:1" x14ac:dyDescent="0.2">
      <c r="A52" s="75" t="s">
        <v>413</v>
      </c>
    </row>
    <row r="53" spans="1:1" x14ac:dyDescent="0.2">
      <c r="A53" s="92" t="s">
        <v>219</v>
      </c>
    </row>
    <row r="54" spans="1:1" x14ac:dyDescent="0.2">
      <c r="A54" s="92" t="s">
        <v>220</v>
      </c>
    </row>
    <row r="55" spans="1:1" x14ac:dyDescent="0.2">
      <c r="A55" s="92" t="s">
        <v>221</v>
      </c>
    </row>
    <row r="56" spans="1:1" x14ac:dyDescent="0.2">
      <c r="A56" s="92" t="s">
        <v>222</v>
      </c>
    </row>
    <row r="57" spans="1:1" x14ac:dyDescent="0.2">
      <c r="A57" s="92" t="s">
        <v>223</v>
      </c>
    </row>
    <row r="58" spans="1:1" x14ac:dyDescent="0.2">
      <c r="A58" s="92" t="s">
        <v>224</v>
      </c>
    </row>
    <row r="59" spans="1:1" x14ac:dyDescent="0.2">
      <c r="A59" s="92" t="s">
        <v>225</v>
      </c>
    </row>
    <row r="60" spans="1:1" x14ac:dyDescent="0.2">
      <c r="A60" s="92" t="s">
        <v>226</v>
      </c>
    </row>
    <row r="61" spans="1:1" x14ac:dyDescent="0.2">
      <c r="A61" s="92" t="s">
        <v>227</v>
      </c>
    </row>
    <row r="62" spans="1:1" x14ac:dyDescent="0.2">
      <c r="A62" s="92" t="s">
        <v>228</v>
      </c>
    </row>
    <row r="63" spans="1:1" x14ac:dyDescent="0.2">
      <c r="A63" s="75" t="s">
        <v>414</v>
      </c>
    </row>
    <row r="64" spans="1:1" x14ac:dyDescent="0.2">
      <c r="A64" s="75" t="s">
        <v>415</v>
      </c>
    </row>
    <row r="65" spans="1:1" x14ac:dyDescent="0.2">
      <c r="A65" s="92" t="s">
        <v>229</v>
      </c>
    </row>
    <row r="66" spans="1:1" x14ac:dyDescent="0.2">
      <c r="A66" s="92" t="s">
        <v>230</v>
      </c>
    </row>
    <row r="67" spans="1:1" x14ac:dyDescent="0.2">
      <c r="A67" s="92" t="s">
        <v>231</v>
      </c>
    </row>
    <row r="68" spans="1:1" x14ac:dyDescent="0.2">
      <c r="A68" s="92" t="s">
        <v>232</v>
      </c>
    </row>
    <row r="69" spans="1:1" x14ac:dyDescent="0.2">
      <c r="A69" s="92" t="s">
        <v>233</v>
      </c>
    </row>
    <row r="70" spans="1:1" x14ac:dyDescent="0.2">
      <c r="A70" s="75" t="s">
        <v>416</v>
      </c>
    </row>
    <row r="71" spans="1:1" x14ac:dyDescent="0.2">
      <c r="A71" s="92" t="s">
        <v>234</v>
      </c>
    </row>
    <row r="72" spans="1:1" x14ac:dyDescent="0.2">
      <c r="A72" s="92" t="s">
        <v>235</v>
      </c>
    </row>
    <row r="73" spans="1:1" x14ac:dyDescent="0.2">
      <c r="A73" s="92" t="s">
        <v>236</v>
      </c>
    </row>
    <row r="74" spans="1:1" x14ac:dyDescent="0.2">
      <c r="A74" s="92" t="s">
        <v>237</v>
      </c>
    </row>
    <row r="75" spans="1:1" x14ac:dyDescent="0.2">
      <c r="A75" s="92" t="s">
        <v>238</v>
      </c>
    </row>
    <row r="76" spans="1:1" x14ac:dyDescent="0.2">
      <c r="A76" s="92" t="s">
        <v>239</v>
      </c>
    </row>
    <row r="77" spans="1:1" x14ac:dyDescent="0.2">
      <c r="A77" s="92" t="s">
        <v>240</v>
      </c>
    </row>
    <row r="78" spans="1:1" x14ac:dyDescent="0.2">
      <c r="A78" s="92" t="s">
        <v>241</v>
      </c>
    </row>
    <row r="79" spans="1:1" x14ac:dyDescent="0.2">
      <c r="A79" s="92" t="s">
        <v>242</v>
      </c>
    </row>
    <row r="80" spans="1:1" x14ac:dyDescent="0.2">
      <c r="A80" s="92" t="s">
        <v>243</v>
      </c>
    </row>
    <row r="81" spans="1:1" x14ac:dyDescent="0.2">
      <c r="A81" s="92" t="s">
        <v>244</v>
      </c>
    </row>
    <row r="82" spans="1:1" x14ac:dyDescent="0.2">
      <c r="A82" s="92" t="s">
        <v>245</v>
      </c>
    </row>
    <row r="83" spans="1:1" x14ac:dyDescent="0.2">
      <c r="A83" s="92" t="s">
        <v>246</v>
      </c>
    </row>
    <row r="84" spans="1:1" x14ac:dyDescent="0.2">
      <c r="A84" s="92" t="s">
        <v>247</v>
      </c>
    </row>
    <row r="85" spans="1:1" x14ac:dyDescent="0.2">
      <c r="A85" s="92" t="s">
        <v>248</v>
      </c>
    </row>
    <row r="86" spans="1:1" x14ac:dyDescent="0.2">
      <c r="A86" s="92" t="s">
        <v>249</v>
      </c>
    </row>
    <row r="87" spans="1:1" x14ac:dyDescent="0.2">
      <c r="A87" s="92" t="s">
        <v>250</v>
      </c>
    </row>
    <row r="88" spans="1:1" x14ac:dyDescent="0.2">
      <c r="A88" s="92" t="s">
        <v>251</v>
      </c>
    </row>
    <row r="89" spans="1:1" x14ac:dyDescent="0.2">
      <c r="A89" s="92" t="s">
        <v>252</v>
      </c>
    </row>
    <row r="90" spans="1:1" x14ac:dyDescent="0.2">
      <c r="A90" s="92" t="s">
        <v>253</v>
      </c>
    </row>
    <row r="91" spans="1:1" x14ac:dyDescent="0.2">
      <c r="A91" s="92" t="s">
        <v>254</v>
      </c>
    </row>
    <row r="92" spans="1:1" x14ac:dyDescent="0.2">
      <c r="A92" s="92" t="s">
        <v>417</v>
      </c>
    </row>
    <row r="93" spans="1:1" x14ac:dyDescent="0.2">
      <c r="A93" s="92" t="s">
        <v>255</v>
      </c>
    </row>
    <row r="94" spans="1:1" x14ac:dyDescent="0.2">
      <c r="A94" s="92" t="s">
        <v>256</v>
      </c>
    </row>
    <row r="95" spans="1:1" x14ac:dyDescent="0.2">
      <c r="A95" s="92" t="s">
        <v>257</v>
      </c>
    </row>
    <row r="96" spans="1:1" x14ac:dyDescent="0.2">
      <c r="A96" s="92" t="s">
        <v>258</v>
      </c>
    </row>
    <row r="97" spans="1:1" x14ac:dyDescent="0.2">
      <c r="A97" s="92" t="s">
        <v>259</v>
      </c>
    </row>
    <row r="98" spans="1:1" x14ac:dyDescent="0.2">
      <c r="A98" s="92" t="s">
        <v>260</v>
      </c>
    </row>
    <row r="99" spans="1:1" x14ac:dyDescent="0.2">
      <c r="A99" s="92" t="s">
        <v>261</v>
      </c>
    </row>
    <row r="100" spans="1:1" x14ac:dyDescent="0.2">
      <c r="A100" s="75" t="s">
        <v>418</v>
      </c>
    </row>
    <row r="101" spans="1:1" x14ac:dyDescent="0.2">
      <c r="A101" s="92" t="s">
        <v>262</v>
      </c>
    </row>
    <row r="102" spans="1:1" x14ac:dyDescent="0.2">
      <c r="A102" s="75" t="s">
        <v>419</v>
      </c>
    </row>
    <row r="103" spans="1:1" x14ac:dyDescent="0.2">
      <c r="A103" s="75" t="s">
        <v>420</v>
      </c>
    </row>
    <row r="104" spans="1:1" x14ac:dyDescent="0.2">
      <c r="A104" s="92" t="s">
        <v>263</v>
      </c>
    </row>
    <row r="105" spans="1:1" x14ac:dyDescent="0.2">
      <c r="A105" s="92" t="s">
        <v>264</v>
      </c>
    </row>
    <row r="106" spans="1:1" x14ac:dyDescent="0.2">
      <c r="A106" s="92" t="s">
        <v>265</v>
      </c>
    </row>
    <row r="107" spans="1:1" x14ac:dyDescent="0.2">
      <c r="A107" s="92" t="s">
        <v>266</v>
      </c>
    </row>
    <row r="108" spans="1:1" x14ac:dyDescent="0.2">
      <c r="A108" s="92" t="s">
        <v>267</v>
      </c>
    </row>
    <row r="109" spans="1:1" x14ac:dyDescent="0.2">
      <c r="A109" s="92" t="s">
        <v>268</v>
      </c>
    </row>
    <row r="110" spans="1:1" x14ac:dyDescent="0.2">
      <c r="A110" s="92" t="s">
        <v>269</v>
      </c>
    </row>
    <row r="111" spans="1:1" x14ac:dyDescent="0.2">
      <c r="A111" s="92" t="s">
        <v>270</v>
      </c>
    </row>
    <row r="112" spans="1:1" x14ac:dyDescent="0.2">
      <c r="A112" s="92" t="s">
        <v>271</v>
      </c>
    </row>
    <row r="113" spans="1:1" x14ac:dyDescent="0.2">
      <c r="A113" s="92" t="s">
        <v>272</v>
      </c>
    </row>
    <row r="114" spans="1:1" x14ac:dyDescent="0.2">
      <c r="A114" s="92" t="s">
        <v>273</v>
      </c>
    </row>
    <row r="115" spans="1:1" x14ac:dyDescent="0.2">
      <c r="A115" s="92" t="s">
        <v>274</v>
      </c>
    </row>
    <row r="116" spans="1:1" x14ac:dyDescent="0.2">
      <c r="A116" s="92" t="s">
        <v>275</v>
      </c>
    </row>
    <row r="117" spans="1:1" x14ac:dyDescent="0.2">
      <c r="A117" s="92" t="s">
        <v>276</v>
      </c>
    </row>
    <row r="118" spans="1:1" x14ac:dyDescent="0.2">
      <c r="A118" s="92" t="s">
        <v>277</v>
      </c>
    </row>
    <row r="119" spans="1:1" x14ac:dyDescent="0.2">
      <c r="A119" s="92" t="s">
        <v>278</v>
      </c>
    </row>
    <row r="120" spans="1:1" x14ac:dyDescent="0.2">
      <c r="A120" s="92" t="s">
        <v>279</v>
      </c>
    </row>
    <row r="121" spans="1:1" x14ac:dyDescent="0.2">
      <c r="A121" s="92" t="s">
        <v>280</v>
      </c>
    </row>
    <row r="122" spans="1:1" x14ac:dyDescent="0.2">
      <c r="A122" s="92" t="s">
        <v>281</v>
      </c>
    </row>
    <row r="123" spans="1:1" x14ac:dyDescent="0.2">
      <c r="A123" s="92" t="s">
        <v>282</v>
      </c>
    </row>
    <row r="124" spans="1:1" x14ac:dyDescent="0.2">
      <c r="A124" s="92" t="s">
        <v>283</v>
      </c>
    </row>
    <row r="125" spans="1:1" x14ac:dyDescent="0.2">
      <c r="A125" s="92" t="s">
        <v>284</v>
      </c>
    </row>
    <row r="126" spans="1:1" x14ac:dyDescent="0.2">
      <c r="A126" s="92" t="s">
        <v>285</v>
      </c>
    </row>
    <row r="127" spans="1:1" x14ac:dyDescent="0.2">
      <c r="A127" s="92" t="s">
        <v>286</v>
      </c>
    </row>
    <row r="128" spans="1:1" x14ac:dyDescent="0.2">
      <c r="A128" s="92" t="s">
        <v>287</v>
      </c>
    </row>
    <row r="129" spans="1:1" x14ac:dyDescent="0.2">
      <c r="A129" s="92" t="s">
        <v>288</v>
      </c>
    </row>
    <row r="130" spans="1:1" x14ac:dyDescent="0.2">
      <c r="A130" s="92" t="s">
        <v>289</v>
      </c>
    </row>
    <row r="131" spans="1:1" x14ac:dyDescent="0.2">
      <c r="A131" s="75" t="s">
        <v>421</v>
      </c>
    </row>
    <row r="132" spans="1:1" x14ac:dyDescent="0.2">
      <c r="A132" s="92" t="s">
        <v>290</v>
      </c>
    </row>
    <row r="133" spans="1:1" x14ac:dyDescent="0.2">
      <c r="A133" s="92" t="s">
        <v>291</v>
      </c>
    </row>
    <row r="134" spans="1:1" x14ac:dyDescent="0.2">
      <c r="A134" s="92" t="s">
        <v>292</v>
      </c>
    </row>
    <row r="135" spans="1:1" x14ac:dyDescent="0.2">
      <c r="A135" s="92" t="s">
        <v>421</v>
      </c>
    </row>
    <row r="136" spans="1:1" x14ac:dyDescent="0.2">
      <c r="A136" s="92" t="s">
        <v>293</v>
      </c>
    </row>
    <row r="137" spans="1:1" x14ac:dyDescent="0.2">
      <c r="A137" s="92" t="s">
        <v>294</v>
      </c>
    </row>
    <row r="138" spans="1:1" x14ac:dyDescent="0.2">
      <c r="A138" s="75" t="s">
        <v>422</v>
      </c>
    </row>
    <row r="139" spans="1:1" x14ac:dyDescent="0.2">
      <c r="A139" s="92" t="s">
        <v>295</v>
      </c>
    </row>
    <row r="140" spans="1:1" x14ac:dyDescent="0.2">
      <c r="A140" s="92" t="s">
        <v>296</v>
      </c>
    </row>
    <row r="141" spans="1:1" x14ac:dyDescent="0.2">
      <c r="A141" s="92" t="s">
        <v>297</v>
      </c>
    </row>
    <row r="142" spans="1:1" x14ac:dyDescent="0.2">
      <c r="A142" s="92" t="s">
        <v>298</v>
      </c>
    </row>
    <row r="143" spans="1:1" x14ac:dyDescent="0.2">
      <c r="A143" s="92" t="s">
        <v>299</v>
      </c>
    </row>
    <row r="144" spans="1:1" x14ac:dyDescent="0.2">
      <c r="A144" s="92" t="s">
        <v>300</v>
      </c>
    </row>
    <row r="145" spans="1:1" x14ac:dyDescent="0.2">
      <c r="A145" s="92" t="s">
        <v>301</v>
      </c>
    </row>
    <row r="146" spans="1:1" x14ac:dyDescent="0.2">
      <c r="A146" s="75" t="s">
        <v>423</v>
      </c>
    </row>
    <row r="147" spans="1:1" x14ac:dyDescent="0.2">
      <c r="A147" s="92" t="s">
        <v>396</v>
      </c>
    </row>
    <row r="148" spans="1:1" x14ac:dyDescent="0.2">
      <c r="A148" s="92" t="s">
        <v>302</v>
      </c>
    </row>
    <row r="149" spans="1:1" x14ac:dyDescent="0.2">
      <c r="A149" s="92" t="s">
        <v>303</v>
      </c>
    </row>
    <row r="150" spans="1:1" x14ac:dyDescent="0.2">
      <c r="A150" s="92" t="s">
        <v>304</v>
      </c>
    </row>
    <row r="151" spans="1:1" x14ac:dyDescent="0.2">
      <c r="A151" s="92" t="s">
        <v>305</v>
      </c>
    </row>
    <row r="152" spans="1:1" x14ac:dyDescent="0.2">
      <c r="A152" s="92" t="s">
        <v>306</v>
      </c>
    </row>
    <row r="153" spans="1:1" x14ac:dyDescent="0.2">
      <c r="A153" s="92" t="s">
        <v>307</v>
      </c>
    </row>
    <row r="154" spans="1:1" x14ac:dyDescent="0.2">
      <c r="A154" s="92" t="s">
        <v>308</v>
      </c>
    </row>
    <row r="155" spans="1:1" x14ac:dyDescent="0.2">
      <c r="A155" s="75" t="s">
        <v>424</v>
      </c>
    </row>
    <row r="156" spans="1:1" x14ac:dyDescent="0.2">
      <c r="A156" s="92" t="s">
        <v>309</v>
      </c>
    </row>
    <row r="157" spans="1:1" x14ac:dyDescent="0.2">
      <c r="A157" s="92" t="s">
        <v>310</v>
      </c>
    </row>
    <row r="158" spans="1:1" x14ac:dyDescent="0.2">
      <c r="A158" s="92" t="s">
        <v>311</v>
      </c>
    </row>
    <row r="159" spans="1:1" x14ac:dyDescent="0.2">
      <c r="A159" s="92" t="s">
        <v>312</v>
      </c>
    </row>
    <row r="160" spans="1:1" x14ac:dyDescent="0.2">
      <c r="A160" s="92" t="s">
        <v>425</v>
      </c>
    </row>
    <row r="161" spans="1:1" x14ac:dyDescent="0.2">
      <c r="A161" s="92" t="s">
        <v>313</v>
      </c>
    </row>
    <row r="162" spans="1:1" x14ac:dyDescent="0.2">
      <c r="A162" s="75" t="s">
        <v>426</v>
      </c>
    </row>
    <row r="163" spans="1:1" x14ac:dyDescent="0.2">
      <c r="A163" s="92" t="s">
        <v>314</v>
      </c>
    </row>
    <row r="164" spans="1:1" x14ac:dyDescent="0.2">
      <c r="A164" s="92" t="s">
        <v>315</v>
      </c>
    </row>
    <row r="165" spans="1:1" x14ac:dyDescent="0.2">
      <c r="A165" s="92" t="s">
        <v>316</v>
      </c>
    </row>
    <row r="166" spans="1:1" x14ac:dyDescent="0.2">
      <c r="A166" s="92" t="s">
        <v>317</v>
      </c>
    </row>
    <row r="167" spans="1:1" x14ac:dyDescent="0.2">
      <c r="A167" s="92" t="s">
        <v>318</v>
      </c>
    </row>
    <row r="168" spans="1:1" x14ac:dyDescent="0.2">
      <c r="A168" s="92" t="s">
        <v>319</v>
      </c>
    </row>
    <row r="169" spans="1:1" x14ac:dyDescent="0.2">
      <c r="A169" s="93" t="s">
        <v>320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I47"/>
  <sheetViews>
    <sheetView view="pageBreakPreview" zoomScale="60" zoomScaleNormal="100" workbookViewId="0">
      <selection activeCell="U26" sqref="U26"/>
    </sheetView>
  </sheetViews>
  <sheetFormatPr defaultRowHeight="12.75" x14ac:dyDescent="0.2"/>
  <cols>
    <col min="1" max="1" width="17.42578125" customWidth="1"/>
    <col min="8" max="8" width="15" customWidth="1"/>
  </cols>
  <sheetData>
    <row r="1" spans="1:9" x14ac:dyDescent="0.2">
      <c r="A1" s="33" t="s">
        <v>11</v>
      </c>
      <c r="B1" s="7"/>
      <c r="C1" s="5"/>
    </row>
    <row r="2" spans="1:9" ht="33.75" customHeight="1" x14ac:dyDescent="0.2"/>
    <row r="3" spans="1:9" ht="23.25" x14ac:dyDescent="0.35">
      <c r="A3" s="708" t="s">
        <v>57</v>
      </c>
      <c r="B3" s="708"/>
      <c r="C3" s="708"/>
      <c r="D3" s="708"/>
      <c r="E3" s="708"/>
      <c r="F3" s="708"/>
      <c r="G3" s="708"/>
      <c r="H3" s="708"/>
      <c r="I3" s="8"/>
    </row>
    <row r="4" spans="1:9" ht="15.75" x14ac:dyDescent="0.25">
      <c r="A4" s="9" t="s">
        <v>8</v>
      </c>
      <c r="B4" s="10"/>
      <c r="C4" s="11"/>
      <c r="D4" s="11"/>
      <c r="E4" s="11"/>
      <c r="F4" s="12"/>
      <c r="G4" s="12"/>
      <c r="H4" s="13"/>
    </row>
    <row r="5" spans="1:9" ht="15.75" x14ac:dyDescent="0.25">
      <c r="A5" s="9" t="s">
        <v>7</v>
      </c>
      <c r="B5" s="14"/>
      <c r="C5" s="15"/>
      <c r="D5" s="15"/>
      <c r="E5" s="15"/>
      <c r="F5" s="16"/>
      <c r="G5" s="16"/>
      <c r="H5" s="17"/>
    </row>
    <row r="6" spans="1:9" ht="15.75" x14ac:dyDescent="0.25">
      <c r="A6" s="18"/>
      <c r="B6" s="18"/>
      <c r="C6" s="18"/>
      <c r="D6" s="18"/>
      <c r="E6" s="18"/>
      <c r="F6" s="19"/>
      <c r="G6" s="19"/>
      <c r="H6" s="19"/>
    </row>
    <row r="7" spans="1:9" ht="15.75" x14ac:dyDescent="0.25">
      <c r="A7" s="9" t="s">
        <v>9</v>
      </c>
      <c r="B7" s="10"/>
      <c r="C7" s="11"/>
      <c r="D7" s="11"/>
      <c r="E7" s="11"/>
      <c r="F7" s="12"/>
      <c r="G7" s="12"/>
      <c r="H7" s="13"/>
    </row>
    <row r="8" spans="1:9" ht="15.75" x14ac:dyDescent="0.25">
      <c r="A8" s="9" t="s">
        <v>10</v>
      </c>
      <c r="B8" s="10"/>
      <c r="C8" s="11"/>
      <c r="D8" s="11"/>
      <c r="E8" s="11"/>
      <c r="F8" s="12"/>
      <c r="G8" s="12"/>
      <c r="H8" s="13"/>
    </row>
    <row r="9" spans="1:9" ht="15.75" x14ac:dyDescent="0.25">
      <c r="A9" s="18"/>
      <c r="B9" s="18"/>
      <c r="C9" s="18"/>
      <c r="D9" s="18"/>
      <c r="E9" s="18"/>
      <c r="F9" s="19"/>
      <c r="G9" s="19"/>
      <c r="H9" s="19"/>
    </row>
    <row r="10" spans="1:9" ht="15.75" x14ac:dyDescent="0.25">
      <c r="A10" s="9" t="s">
        <v>13</v>
      </c>
      <c r="B10" s="10"/>
      <c r="C10" s="11"/>
      <c r="D10" s="11"/>
      <c r="E10" s="11"/>
      <c r="F10" s="12"/>
      <c r="G10" s="12"/>
      <c r="H10" s="13"/>
    </row>
    <row r="11" spans="1:9" ht="15.75" x14ac:dyDescent="0.25">
      <c r="A11" s="9" t="s">
        <v>12</v>
      </c>
      <c r="B11" s="10" t="s">
        <v>58</v>
      </c>
      <c r="C11" s="11"/>
      <c r="D11" s="11"/>
      <c r="E11" s="11"/>
      <c r="F11" s="12"/>
      <c r="G11" s="12"/>
      <c r="H11" s="13"/>
    </row>
    <row r="12" spans="1:9" ht="15.75" x14ac:dyDescent="0.25">
      <c r="A12" s="18"/>
      <c r="B12" s="18"/>
      <c r="C12" s="18"/>
      <c r="D12" s="18"/>
      <c r="E12" s="18"/>
      <c r="F12" s="19"/>
      <c r="G12" s="19"/>
      <c r="H12" s="19"/>
    </row>
    <row r="13" spans="1:9" ht="15.75" x14ac:dyDescent="0.25">
      <c r="A13" s="20" t="s">
        <v>14</v>
      </c>
      <c r="B13" s="10"/>
      <c r="C13" s="11"/>
      <c r="D13" s="11"/>
      <c r="E13" s="11"/>
      <c r="F13" s="12"/>
      <c r="G13" s="12"/>
      <c r="H13" s="13"/>
    </row>
    <row r="14" spans="1:9" ht="15.75" x14ac:dyDescent="0.25">
      <c r="A14" s="21" t="s">
        <v>15</v>
      </c>
      <c r="B14" s="22"/>
      <c r="C14" s="22"/>
      <c r="D14" s="22"/>
      <c r="E14" s="22"/>
      <c r="F14" s="23"/>
      <c r="G14" s="23"/>
      <c r="H14" s="24"/>
    </row>
    <row r="15" spans="1:9" ht="15.75" x14ac:dyDescent="0.25">
      <c r="A15" s="25"/>
      <c r="B15" s="26"/>
      <c r="C15" s="26"/>
      <c r="D15" s="26"/>
      <c r="E15" s="26"/>
      <c r="F15" s="27"/>
      <c r="G15" s="27"/>
      <c r="H15" s="28"/>
    </row>
    <row r="16" spans="1:9" ht="15.75" x14ac:dyDescent="0.25">
      <c r="A16" s="25"/>
      <c r="B16" s="26"/>
      <c r="C16" s="26"/>
      <c r="D16" s="26"/>
      <c r="E16" s="26"/>
      <c r="F16" s="27"/>
      <c r="G16" s="27"/>
      <c r="H16" s="28"/>
    </row>
    <row r="17" spans="1:8" ht="15.75" x14ac:dyDescent="0.25">
      <c r="A17" s="25"/>
      <c r="B17" s="26"/>
      <c r="C17" s="26"/>
      <c r="D17" s="26"/>
      <c r="E17" s="26"/>
      <c r="F17" s="27"/>
      <c r="G17" s="27"/>
      <c r="H17" s="28"/>
    </row>
    <row r="18" spans="1:8" ht="15.75" x14ac:dyDescent="0.25">
      <c r="A18" s="25"/>
      <c r="B18" s="26"/>
      <c r="C18" s="26"/>
      <c r="D18" s="26"/>
      <c r="E18" s="26"/>
      <c r="F18" s="27"/>
      <c r="G18" s="27"/>
      <c r="H18" s="28"/>
    </row>
    <row r="19" spans="1:8" ht="15.75" x14ac:dyDescent="0.25">
      <c r="A19" s="25"/>
      <c r="B19" s="26"/>
      <c r="C19" s="26"/>
      <c r="D19" s="26"/>
      <c r="E19" s="26"/>
      <c r="F19" s="27"/>
      <c r="G19" s="27"/>
      <c r="H19" s="28"/>
    </row>
    <row r="20" spans="1:8" ht="15.75" x14ac:dyDescent="0.25">
      <c r="A20" s="25"/>
      <c r="B20" s="26"/>
      <c r="C20" s="26"/>
      <c r="D20" s="26"/>
      <c r="E20" s="26"/>
      <c r="F20" s="27"/>
      <c r="G20" s="27"/>
      <c r="H20" s="28"/>
    </row>
    <row r="21" spans="1:8" ht="15.75" x14ac:dyDescent="0.25">
      <c r="A21" s="25"/>
      <c r="B21" s="26"/>
      <c r="C21" s="26"/>
      <c r="D21" s="26"/>
      <c r="E21" s="26"/>
      <c r="F21" s="27"/>
      <c r="G21" s="27"/>
      <c r="H21" s="28"/>
    </row>
    <row r="22" spans="1:8" ht="15.75" x14ac:dyDescent="0.25">
      <c r="A22" s="25"/>
      <c r="B22" s="26"/>
      <c r="C22" s="26"/>
      <c r="D22" s="26"/>
      <c r="E22" s="26"/>
      <c r="F22" s="27"/>
      <c r="G22" s="27"/>
      <c r="H22" s="28"/>
    </row>
    <row r="23" spans="1:8" ht="15.75" x14ac:dyDescent="0.25">
      <c r="A23" s="25"/>
      <c r="B23" s="26"/>
      <c r="C23" s="26"/>
      <c r="D23" s="26"/>
      <c r="E23" s="26"/>
      <c r="F23" s="27"/>
      <c r="G23" s="27"/>
      <c r="H23" s="28"/>
    </row>
    <row r="24" spans="1:8" ht="15.75" x14ac:dyDescent="0.25">
      <c r="A24" s="14"/>
      <c r="B24" s="15"/>
      <c r="C24" s="15"/>
      <c r="D24" s="15"/>
      <c r="E24" s="15"/>
      <c r="F24" s="16"/>
      <c r="G24" s="16"/>
      <c r="H24" s="17"/>
    </row>
    <row r="25" spans="1:8" ht="15.75" x14ac:dyDescent="0.25">
      <c r="A25" s="14" t="s">
        <v>16</v>
      </c>
      <c r="B25" s="15"/>
      <c r="C25" s="29"/>
      <c r="D25" s="10"/>
      <c r="E25" s="11"/>
      <c r="F25" s="12"/>
      <c r="G25" s="12"/>
      <c r="H25" s="13"/>
    </row>
    <row r="26" spans="1:8" ht="15.75" x14ac:dyDescent="0.25">
      <c r="A26" s="21" t="s">
        <v>17</v>
      </c>
      <c r="B26" s="22"/>
      <c r="C26" s="22"/>
      <c r="D26" s="22"/>
      <c r="E26" s="22"/>
      <c r="F26" s="23"/>
      <c r="G26" s="23"/>
      <c r="H26" s="24"/>
    </row>
    <row r="27" spans="1:8" ht="15.75" x14ac:dyDescent="0.25">
      <c r="A27" s="25"/>
      <c r="B27" s="26"/>
      <c r="C27" s="27"/>
      <c r="D27" s="27"/>
      <c r="E27" s="27"/>
      <c r="F27" s="27"/>
      <c r="G27" s="27"/>
      <c r="H27" s="28"/>
    </row>
    <row r="28" spans="1:8" ht="15.75" x14ac:dyDescent="0.25">
      <c r="A28" s="25"/>
      <c r="B28" s="26"/>
      <c r="C28" s="27"/>
      <c r="D28" s="27"/>
      <c r="E28" s="27"/>
      <c r="F28" s="27"/>
      <c r="G28" s="27"/>
      <c r="H28" s="28"/>
    </row>
    <row r="29" spans="1:8" ht="15.75" x14ac:dyDescent="0.25">
      <c r="A29" s="25"/>
      <c r="B29" s="26"/>
      <c r="C29" s="27"/>
      <c r="D29" s="27"/>
      <c r="E29" s="27"/>
      <c r="F29" s="27"/>
      <c r="G29" s="27"/>
      <c r="H29" s="28"/>
    </row>
    <row r="30" spans="1:8" ht="15.75" x14ac:dyDescent="0.25">
      <c r="A30" s="25"/>
      <c r="B30" s="26"/>
      <c r="C30" s="27"/>
      <c r="D30" s="27"/>
      <c r="E30" s="27"/>
      <c r="F30" s="27"/>
      <c r="G30" s="27"/>
      <c r="H30" s="28"/>
    </row>
    <row r="31" spans="1:8" ht="15.75" x14ac:dyDescent="0.25">
      <c r="A31" s="25"/>
      <c r="B31" s="26"/>
      <c r="C31" s="27"/>
      <c r="D31" s="27"/>
      <c r="E31" s="27"/>
      <c r="F31" s="27"/>
      <c r="G31" s="27"/>
      <c r="H31" s="28"/>
    </row>
    <row r="32" spans="1:8" ht="15.75" x14ac:dyDescent="0.25">
      <c r="A32" s="25"/>
      <c r="B32" s="26"/>
      <c r="C32" s="27"/>
      <c r="D32" s="27"/>
      <c r="E32" s="27"/>
      <c r="F32" s="27"/>
      <c r="G32" s="27"/>
      <c r="H32" s="28"/>
    </row>
    <row r="33" spans="1:8" ht="15.75" x14ac:dyDescent="0.25">
      <c r="A33" s="25"/>
      <c r="B33" s="26"/>
      <c r="C33" s="27"/>
      <c r="D33" s="27"/>
      <c r="E33" s="27"/>
      <c r="F33" s="27"/>
      <c r="G33" s="27"/>
      <c r="H33" s="28"/>
    </row>
    <row r="34" spans="1:8" ht="15.75" x14ac:dyDescent="0.25">
      <c r="A34" s="25"/>
      <c r="B34" s="26"/>
      <c r="C34" s="27"/>
      <c r="D34" s="27"/>
      <c r="E34" s="27"/>
      <c r="F34" s="27"/>
      <c r="G34" s="27"/>
      <c r="H34" s="28"/>
    </row>
    <row r="35" spans="1:8" ht="15.75" x14ac:dyDescent="0.25">
      <c r="A35" s="25"/>
      <c r="B35" s="26"/>
      <c r="C35" s="27"/>
      <c r="D35" s="27"/>
      <c r="E35" s="27"/>
      <c r="F35" s="27"/>
      <c r="G35" s="27"/>
      <c r="H35" s="28"/>
    </row>
    <row r="36" spans="1:8" ht="15.75" x14ac:dyDescent="0.25">
      <c r="A36" s="14"/>
      <c r="B36" s="15"/>
      <c r="C36" s="16"/>
      <c r="D36" s="16"/>
      <c r="E36" s="16"/>
      <c r="F36" s="16"/>
      <c r="G36" s="16"/>
      <c r="H36" s="17"/>
    </row>
    <row r="37" spans="1:8" s="4" customFormat="1" ht="15.75" x14ac:dyDescent="0.25">
      <c r="A37" s="21" t="s">
        <v>18</v>
      </c>
      <c r="B37" s="22"/>
      <c r="C37" s="22"/>
      <c r="D37" s="22"/>
      <c r="E37" s="22"/>
      <c r="F37" s="22"/>
      <c r="G37" s="22"/>
      <c r="H37" s="30"/>
    </row>
    <row r="38" spans="1:8" x14ac:dyDescent="0.2">
      <c r="A38" s="31"/>
      <c r="B38" s="27"/>
      <c r="C38" s="27"/>
      <c r="D38" s="27"/>
      <c r="E38" s="27"/>
      <c r="F38" s="27"/>
      <c r="G38" s="27"/>
      <c r="H38" s="28"/>
    </row>
    <row r="39" spans="1:8" x14ac:dyDescent="0.2">
      <c r="A39" s="31"/>
      <c r="B39" s="27"/>
      <c r="C39" s="27"/>
      <c r="D39" s="27"/>
      <c r="E39" s="27"/>
      <c r="F39" s="27"/>
      <c r="G39" s="27"/>
      <c r="H39" s="28"/>
    </row>
    <row r="40" spans="1:8" x14ac:dyDescent="0.2">
      <c r="A40" s="31"/>
      <c r="B40" s="27"/>
      <c r="C40" s="27"/>
      <c r="D40" s="27"/>
      <c r="E40" s="27"/>
      <c r="F40" s="27"/>
      <c r="G40" s="27"/>
      <c r="H40" s="28"/>
    </row>
    <row r="41" spans="1:8" x14ac:dyDescent="0.2">
      <c r="A41" s="31"/>
      <c r="B41" s="27"/>
      <c r="C41" s="27"/>
      <c r="D41" s="27"/>
      <c r="E41" s="27"/>
      <c r="F41" s="27"/>
      <c r="G41" s="27"/>
      <c r="H41" s="28"/>
    </row>
    <row r="42" spans="1:8" x14ac:dyDescent="0.2">
      <c r="A42" s="31"/>
      <c r="B42" s="27"/>
      <c r="C42" s="27"/>
      <c r="D42" s="27"/>
      <c r="E42" s="27"/>
      <c r="F42" s="27"/>
      <c r="G42" s="27"/>
      <c r="H42" s="28"/>
    </row>
    <row r="43" spans="1:8" x14ac:dyDescent="0.2">
      <c r="A43" s="31"/>
      <c r="B43" s="27"/>
      <c r="C43" s="27"/>
      <c r="D43" s="27"/>
      <c r="E43" s="27"/>
      <c r="F43" s="27"/>
      <c r="G43" s="27"/>
      <c r="H43" s="28"/>
    </row>
    <row r="44" spans="1:8" x14ac:dyDescent="0.2">
      <c r="A44" s="31"/>
      <c r="B44" s="27"/>
      <c r="C44" s="27"/>
      <c r="D44" s="27"/>
      <c r="E44" s="27"/>
      <c r="F44" s="27"/>
      <c r="G44" s="27"/>
      <c r="H44" s="28"/>
    </row>
    <row r="45" spans="1:8" x14ac:dyDescent="0.2">
      <c r="A45" s="32"/>
      <c r="B45" s="16"/>
      <c r="C45" s="16"/>
      <c r="D45" s="16"/>
      <c r="E45" s="16"/>
      <c r="F45" s="16"/>
      <c r="G45" s="16"/>
      <c r="H45" s="17"/>
    </row>
    <row r="46" spans="1:8" x14ac:dyDescent="0.2">
      <c r="A46" s="27"/>
      <c r="B46" s="27"/>
      <c r="C46" s="27"/>
      <c r="D46" s="27"/>
      <c r="E46" s="27"/>
      <c r="F46" s="27"/>
      <c r="G46" s="27"/>
      <c r="H46" s="27"/>
    </row>
    <row r="47" spans="1:8" x14ac:dyDescent="0.2">
      <c r="A47" s="27"/>
      <c r="B47" s="27"/>
      <c r="C47" s="27"/>
      <c r="D47" s="27"/>
      <c r="E47" s="27"/>
      <c r="F47" s="27"/>
      <c r="G47" s="27"/>
      <c r="H47" s="27"/>
    </row>
  </sheetData>
  <mergeCells count="1">
    <mergeCell ref="A3:H3"/>
  </mergeCells>
  <phoneticPr fontId="18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I1:P46"/>
  <sheetViews>
    <sheetView topLeftCell="A16" zoomScale="70" zoomScaleNormal="70" zoomScaleSheetLayoutView="125" workbookViewId="0">
      <selection activeCell="J34" sqref="J34:O43"/>
    </sheetView>
  </sheetViews>
  <sheetFormatPr defaultColWidth="9.140625" defaultRowHeight="12.75" x14ac:dyDescent="0.2"/>
  <cols>
    <col min="1" max="1" width="11.85546875" style="226" customWidth="1"/>
    <col min="2" max="6" width="9.140625" style="226"/>
    <col min="7" max="7" width="16.85546875" style="226" customWidth="1"/>
    <col min="8" max="8" width="9.140625" style="226"/>
    <col min="9" max="9" width="10.28515625" style="226" bestFit="1" customWidth="1"/>
    <col min="10" max="14" width="9.140625" style="226"/>
    <col min="15" max="15" width="16.7109375" style="226" customWidth="1"/>
    <col min="16" max="16" width="22.28515625" style="307" customWidth="1"/>
    <col min="17" max="16384" width="9.140625" style="226"/>
  </cols>
  <sheetData>
    <row r="1" spans="9:16" ht="13.5" thickBot="1" x14ac:dyDescent="0.25"/>
    <row r="2" spans="9:16" ht="19.5" customHeight="1" thickBot="1" x14ac:dyDescent="0.25">
      <c r="I2" s="733" t="s">
        <v>393</v>
      </c>
      <c r="J2" s="734"/>
      <c r="K2" s="734"/>
      <c r="L2" s="734"/>
      <c r="M2" s="734"/>
      <c r="N2" s="734"/>
      <c r="O2" s="735"/>
      <c r="P2" s="308" t="s">
        <v>354</v>
      </c>
    </row>
    <row r="3" spans="9:16" ht="16.5" thickBot="1" x14ac:dyDescent="0.25">
      <c r="I3" s="274">
        <v>40940</v>
      </c>
      <c r="J3" s="258" t="s">
        <v>62</v>
      </c>
      <c r="K3" s="258"/>
      <c r="L3" s="258"/>
      <c r="M3" s="258"/>
      <c r="N3" s="258"/>
      <c r="O3" s="259"/>
      <c r="P3" s="309">
        <v>1</v>
      </c>
    </row>
    <row r="4" spans="9:16" ht="16.5" thickBot="1" x14ac:dyDescent="0.25">
      <c r="I4" s="274">
        <v>40940</v>
      </c>
      <c r="J4" s="258" t="s">
        <v>63</v>
      </c>
      <c r="K4" s="258"/>
      <c r="L4" s="258"/>
      <c r="M4" s="258"/>
      <c r="N4" s="258"/>
      <c r="O4" s="259"/>
      <c r="P4" s="309">
        <v>1.1000000000000001</v>
      </c>
    </row>
    <row r="5" spans="9:16" ht="16.5" thickBot="1" x14ac:dyDescent="0.25">
      <c r="I5" s="274">
        <v>41183</v>
      </c>
      <c r="J5" s="259" t="s">
        <v>483</v>
      </c>
      <c r="K5" s="259"/>
      <c r="L5" s="259"/>
      <c r="M5" s="259"/>
      <c r="N5" s="259"/>
      <c r="O5" s="259"/>
      <c r="P5" s="309">
        <v>1.2</v>
      </c>
    </row>
    <row r="6" spans="9:16" ht="16.5" thickBot="1" x14ac:dyDescent="0.25">
      <c r="I6" s="274">
        <v>41609</v>
      </c>
      <c r="J6" s="258" t="s">
        <v>353</v>
      </c>
      <c r="K6" s="259"/>
      <c r="L6" s="259"/>
      <c r="M6" s="259"/>
      <c r="N6" s="259"/>
      <c r="O6" s="259"/>
      <c r="P6" s="309">
        <v>2</v>
      </c>
    </row>
    <row r="7" spans="9:16" ht="15.6" customHeight="1" x14ac:dyDescent="0.2">
      <c r="I7" s="712">
        <v>41883</v>
      </c>
      <c r="J7" s="725" t="s">
        <v>377</v>
      </c>
      <c r="K7" s="725"/>
      <c r="L7" s="725"/>
      <c r="M7" s="725"/>
      <c r="N7" s="725"/>
      <c r="O7" s="725"/>
      <c r="P7" s="709" t="s">
        <v>384</v>
      </c>
    </row>
    <row r="8" spans="9:16" x14ac:dyDescent="0.2">
      <c r="I8" s="713"/>
      <c r="J8" s="728"/>
      <c r="K8" s="728"/>
      <c r="L8" s="728"/>
      <c r="M8" s="728"/>
      <c r="N8" s="728"/>
      <c r="O8" s="728"/>
      <c r="P8" s="710"/>
    </row>
    <row r="9" spans="9:16" x14ac:dyDescent="0.2">
      <c r="I9" s="713"/>
      <c r="J9" s="728"/>
      <c r="K9" s="728"/>
      <c r="L9" s="728"/>
      <c r="M9" s="728"/>
      <c r="N9" s="728"/>
      <c r="O9" s="728"/>
      <c r="P9" s="710"/>
    </row>
    <row r="10" spans="9:16" x14ac:dyDescent="0.2">
      <c r="I10" s="713"/>
      <c r="J10" s="728"/>
      <c r="K10" s="728"/>
      <c r="L10" s="728"/>
      <c r="M10" s="728"/>
      <c r="N10" s="728"/>
      <c r="O10" s="728"/>
      <c r="P10" s="710"/>
    </row>
    <row r="11" spans="9:16" x14ac:dyDescent="0.2">
      <c r="I11" s="713"/>
      <c r="J11" s="728"/>
      <c r="K11" s="728"/>
      <c r="L11" s="728"/>
      <c r="M11" s="728"/>
      <c r="N11" s="728"/>
      <c r="O11" s="728"/>
      <c r="P11" s="710"/>
    </row>
    <row r="12" spans="9:16" x14ac:dyDescent="0.2">
      <c r="I12" s="713"/>
      <c r="J12" s="728"/>
      <c r="K12" s="728"/>
      <c r="L12" s="728"/>
      <c r="M12" s="728"/>
      <c r="N12" s="728"/>
      <c r="O12" s="728"/>
      <c r="P12" s="710"/>
    </row>
    <row r="13" spans="9:16" x14ac:dyDescent="0.2">
      <c r="I13" s="713"/>
      <c r="J13" s="728"/>
      <c r="K13" s="728"/>
      <c r="L13" s="728"/>
      <c r="M13" s="728"/>
      <c r="N13" s="728"/>
      <c r="O13" s="728"/>
      <c r="P13" s="710"/>
    </row>
    <row r="14" spans="9:16" x14ac:dyDescent="0.2">
      <c r="I14" s="713"/>
      <c r="J14" s="728"/>
      <c r="K14" s="728"/>
      <c r="L14" s="728"/>
      <c r="M14" s="728"/>
      <c r="N14" s="728"/>
      <c r="O14" s="728"/>
      <c r="P14" s="710"/>
    </row>
    <row r="15" spans="9:16" x14ac:dyDescent="0.2">
      <c r="I15" s="713"/>
      <c r="J15" s="728"/>
      <c r="K15" s="728"/>
      <c r="L15" s="728"/>
      <c r="M15" s="728"/>
      <c r="N15" s="728"/>
      <c r="O15" s="728"/>
      <c r="P15" s="710"/>
    </row>
    <row r="16" spans="9:16" ht="13.5" thickBot="1" x14ac:dyDescent="0.25">
      <c r="I16" s="714"/>
      <c r="J16" s="731"/>
      <c r="K16" s="731"/>
      <c r="L16" s="731"/>
      <c r="M16" s="731"/>
      <c r="N16" s="731"/>
      <c r="O16" s="731"/>
      <c r="P16" s="711"/>
    </row>
    <row r="17" spans="9:16" ht="15.6" customHeight="1" x14ac:dyDescent="0.2">
      <c r="I17" s="712">
        <v>42005</v>
      </c>
      <c r="J17" s="728" t="s">
        <v>394</v>
      </c>
      <c r="K17" s="728"/>
      <c r="L17" s="728"/>
      <c r="M17" s="728"/>
      <c r="N17" s="728"/>
      <c r="O17" s="728"/>
      <c r="P17" s="709">
        <v>2.2999999999999998</v>
      </c>
    </row>
    <row r="18" spans="9:16" x14ac:dyDescent="0.2">
      <c r="I18" s="713"/>
      <c r="J18" s="728"/>
      <c r="K18" s="728"/>
      <c r="L18" s="728"/>
      <c r="M18" s="728"/>
      <c r="N18" s="728"/>
      <c r="O18" s="728"/>
      <c r="P18" s="710"/>
    </row>
    <row r="19" spans="9:16" x14ac:dyDescent="0.2">
      <c r="I19" s="713"/>
      <c r="J19" s="728"/>
      <c r="K19" s="728"/>
      <c r="L19" s="728"/>
      <c r="M19" s="728"/>
      <c r="N19" s="728"/>
      <c r="O19" s="728"/>
      <c r="P19" s="710"/>
    </row>
    <row r="20" spans="9:16" x14ac:dyDescent="0.2">
      <c r="I20" s="713"/>
      <c r="J20" s="728"/>
      <c r="K20" s="728"/>
      <c r="L20" s="728"/>
      <c r="M20" s="728"/>
      <c r="N20" s="728"/>
      <c r="O20" s="728"/>
      <c r="P20" s="710"/>
    </row>
    <row r="21" spans="9:16" x14ac:dyDescent="0.2">
      <c r="I21" s="713"/>
      <c r="J21" s="728"/>
      <c r="K21" s="728"/>
      <c r="L21" s="728"/>
      <c r="M21" s="728"/>
      <c r="N21" s="728"/>
      <c r="O21" s="728"/>
      <c r="P21" s="710"/>
    </row>
    <row r="22" spans="9:16" x14ac:dyDescent="0.2">
      <c r="I22" s="713"/>
      <c r="J22" s="728"/>
      <c r="K22" s="728"/>
      <c r="L22" s="728"/>
      <c r="M22" s="728"/>
      <c r="N22" s="728"/>
      <c r="O22" s="728"/>
      <c r="P22" s="710"/>
    </row>
    <row r="23" spans="9:16" x14ac:dyDescent="0.2">
      <c r="I23" s="713"/>
      <c r="J23" s="728"/>
      <c r="K23" s="728"/>
      <c r="L23" s="728"/>
      <c r="M23" s="728"/>
      <c r="N23" s="728"/>
      <c r="O23" s="728"/>
      <c r="P23" s="710"/>
    </row>
    <row r="24" spans="9:16" x14ac:dyDescent="0.2">
      <c r="I24" s="713"/>
      <c r="J24" s="728"/>
      <c r="K24" s="728"/>
      <c r="L24" s="728"/>
      <c r="M24" s="728"/>
      <c r="N24" s="728"/>
      <c r="O24" s="728"/>
      <c r="P24" s="710"/>
    </row>
    <row r="25" spans="9:16" x14ac:dyDescent="0.2">
      <c r="I25" s="713"/>
      <c r="J25" s="728"/>
      <c r="K25" s="728"/>
      <c r="L25" s="728"/>
      <c r="M25" s="728"/>
      <c r="N25" s="728"/>
      <c r="O25" s="728"/>
      <c r="P25" s="710"/>
    </row>
    <row r="26" spans="9:16" ht="41.25" customHeight="1" thickBot="1" x14ac:dyDescent="0.25">
      <c r="I26" s="714"/>
      <c r="J26" s="731"/>
      <c r="K26" s="731"/>
      <c r="L26" s="731"/>
      <c r="M26" s="731"/>
      <c r="N26" s="731"/>
      <c r="O26" s="731"/>
      <c r="P26" s="711"/>
    </row>
    <row r="27" spans="9:16" ht="96" customHeight="1" thickBot="1" x14ac:dyDescent="0.25">
      <c r="I27" s="274">
        <v>42005</v>
      </c>
      <c r="J27" s="736" t="s">
        <v>399</v>
      </c>
      <c r="K27" s="737"/>
      <c r="L27" s="737"/>
      <c r="M27" s="737"/>
      <c r="N27" s="737"/>
      <c r="O27" s="738"/>
      <c r="P27" s="306" t="s">
        <v>397</v>
      </c>
    </row>
    <row r="28" spans="9:16" ht="82.15" customHeight="1" thickBot="1" x14ac:dyDescent="0.25">
      <c r="I28" s="274">
        <v>42217</v>
      </c>
      <c r="J28" s="736" t="s">
        <v>430</v>
      </c>
      <c r="K28" s="737"/>
      <c r="L28" s="737"/>
      <c r="M28" s="737"/>
      <c r="N28" s="737"/>
      <c r="O28" s="738"/>
      <c r="P28" s="306" t="s">
        <v>429</v>
      </c>
    </row>
    <row r="29" spans="9:16" x14ac:dyDescent="0.2">
      <c r="I29" s="712">
        <v>42430</v>
      </c>
      <c r="J29" s="724" t="s">
        <v>480</v>
      </c>
      <c r="K29" s="725"/>
      <c r="L29" s="725"/>
      <c r="M29" s="725"/>
      <c r="N29" s="725"/>
      <c r="O29" s="726"/>
      <c r="P29" s="709" t="s">
        <v>469</v>
      </c>
    </row>
    <row r="30" spans="9:16" x14ac:dyDescent="0.2">
      <c r="I30" s="713"/>
      <c r="J30" s="727"/>
      <c r="K30" s="728"/>
      <c r="L30" s="728"/>
      <c r="M30" s="728"/>
      <c r="N30" s="728"/>
      <c r="O30" s="729"/>
      <c r="P30" s="710"/>
    </row>
    <row r="31" spans="9:16" x14ac:dyDescent="0.2">
      <c r="I31" s="713"/>
      <c r="J31" s="727"/>
      <c r="K31" s="728"/>
      <c r="L31" s="728"/>
      <c r="M31" s="728"/>
      <c r="N31" s="728"/>
      <c r="O31" s="729"/>
      <c r="P31" s="710"/>
    </row>
    <row r="32" spans="9:16" x14ac:dyDescent="0.2">
      <c r="I32" s="713"/>
      <c r="J32" s="727"/>
      <c r="K32" s="728"/>
      <c r="L32" s="728"/>
      <c r="M32" s="728"/>
      <c r="N32" s="728"/>
      <c r="O32" s="729"/>
      <c r="P32" s="710"/>
    </row>
    <row r="33" spans="9:16" ht="146.44999999999999" customHeight="1" thickBot="1" x14ac:dyDescent="0.25">
      <c r="I33" s="714"/>
      <c r="J33" s="730"/>
      <c r="K33" s="731"/>
      <c r="L33" s="731"/>
      <c r="M33" s="731"/>
      <c r="N33" s="731"/>
      <c r="O33" s="732"/>
      <c r="P33" s="711"/>
    </row>
    <row r="34" spans="9:16" ht="16.5" customHeight="1" x14ac:dyDescent="0.2">
      <c r="I34" s="712">
        <v>42856</v>
      </c>
      <c r="J34" s="715" t="s">
        <v>487</v>
      </c>
      <c r="K34" s="716"/>
      <c r="L34" s="716"/>
      <c r="M34" s="716"/>
      <c r="N34" s="716"/>
      <c r="O34" s="717"/>
      <c r="P34" s="709">
        <v>2.6</v>
      </c>
    </row>
    <row r="35" spans="9:16" ht="16.5" customHeight="1" x14ac:dyDescent="0.2">
      <c r="I35" s="713"/>
      <c r="J35" s="718"/>
      <c r="K35" s="719"/>
      <c r="L35" s="719"/>
      <c r="M35" s="719"/>
      <c r="N35" s="719"/>
      <c r="O35" s="720"/>
      <c r="P35" s="710"/>
    </row>
    <row r="36" spans="9:16" ht="16.5" customHeight="1" x14ac:dyDescent="0.2">
      <c r="I36" s="713"/>
      <c r="J36" s="718"/>
      <c r="K36" s="719"/>
      <c r="L36" s="719"/>
      <c r="M36" s="719"/>
      <c r="N36" s="719"/>
      <c r="O36" s="720"/>
      <c r="P36" s="710"/>
    </row>
    <row r="37" spans="9:16" ht="16.5" customHeight="1" x14ac:dyDescent="0.2">
      <c r="I37" s="713"/>
      <c r="J37" s="718"/>
      <c r="K37" s="719"/>
      <c r="L37" s="719"/>
      <c r="M37" s="719"/>
      <c r="N37" s="719"/>
      <c r="O37" s="720"/>
      <c r="P37" s="710"/>
    </row>
    <row r="38" spans="9:16" ht="16.5" customHeight="1" x14ac:dyDescent="0.2">
      <c r="I38" s="713"/>
      <c r="J38" s="718"/>
      <c r="K38" s="719"/>
      <c r="L38" s="719"/>
      <c r="M38" s="719"/>
      <c r="N38" s="719"/>
      <c r="O38" s="720"/>
      <c r="P38" s="710"/>
    </row>
    <row r="39" spans="9:16" ht="16.5" customHeight="1" x14ac:dyDescent="0.2">
      <c r="I39" s="713"/>
      <c r="J39" s="718"/>
      <c r="K39" s="719"/>
      <c r="L39" s="719"/>
      <c r="M39" s="719"/>
      <c r="N39" s="719"/>
      <c r="O39" s="720"/>
      <c r="P39" s="710"/>
    </row>
    <row r="40" spans="9:16" ht="16.5" customHeight="1" x14ac:dyDescent="0.2">
      <c r="I40" s="713"/>
      <c r="J40" s="718"/>
      <c r="K40" s="719"/>
      <c r="L40" s="719"/>
      <c r="M40" s="719"/>
      <c r="N40" s="719"/>
      <c r="O40" s="720"/>
      <c r="P40" s="710"/>
    </row>
    <row r="41" spans="9:16" ht="16.5" customHeight="1" x14ac:dyDescent="0.2">
      <c r="I41" s="713"/>
      <c r="J41" s="718"/>
      <c r="K41" s="719"/>
      <c r="L41" s="719"/>
      <c r="M41" s="719"/>
      <c r="N41" s="719"/>
      <c r="O41" s="720"/>
      <c r="P41" s="710"/>
    </row>
    <row r="42" spans="9:16" ht="16.5" customHeight="1" x14ac:dyDescent="0.2">
      <c r="I42" s="713"/>
      <c r="J42" s="718"/>
      <c r="K42" s="719"/>
      <c r="L42" s="719"/>
      <c r="M42" s="719"/>
      <c r="N42" s="719"/>
      <c r="O42" s="720"/>
      <c r="P42" s="710"/>
    </row>
    <row r="43" spans="9:16" ht="16.5" customHeight="1" thickBot="1" x14ac:dyDescent="0.25">
      <c r="I43" s="714"/>
      <c r="J43" s="721"/>
      <c r="K43" s="722"/>
      <c r="L43" s="722"/>
      <c r="M43" s="722"/>
      <c r="N43" s="722"/>
      <c r="O43" s="723"/>
      <c r="P43" s="711"/>
    </row>
    <row r="44" spans="9:16" ht="12.75" customHeight="1" x14ac:dyDescent="0.25">
      <c r="J44" s="343"/>
      <c r="K44" s="343"/>
      <c r="L44" s="343"/>
      <c r="M44" s="343"/>
      <c r="N44" s="343"/>
      <c r="O44" s="343"/>
    </row>
    <row r="45" spans="9:16" ht="12.75" customHeight="1" x14ac:dyDescent="0.25">
      <c r="J45" s="343"/>
      <c r="K45" s="343"/>
      <c r="L45" s="343"/>
      <c r="M45" s="343"/>
      <c r="N45" s="343"/>
      <c r="O45" s="343"/>
    </row>
    <row r="46" spans="9:16" ht="12.75" customHeight="1" x14ac:dyDescent="0.25">
      <c r="J46" s="343"/>
      <c r="K46" s="343"/>
      <c r="L46" s="343"/>
      <c r="M46" s="343"/>
      <c r="N46" s="343"/>
      <c r="O46" s="343"/>
    </row>
  </sheetData>
  <sheetProtection selectLockedCells="1"/>
  <mergeCells count="15">
    <mergeCell ref="I2:O2"/>
    <mergeCell ref="P7:P16"/>
    <mergeCell ref="P17:P26"/>
    <mergeCell ref="J28:O28"/>
    <mergeCell ref="J27:O27"/>
    <mergeCell ref="J7:O16"/>
    <mergeCell ref="J17:O26"/>
    <mergeCell ref="I7:I16"/>
    <mergeCell ref="I17:I26"/>
    <mergeCell ref="P34:P43"/>
    <mergeCell ref="I34:I43"/>
    <mergeCell ref="J34:O43"/>
    <mergeCell ref="I29:I33"/>
    <mergeCell ref="J29:O33"/>
    <mergeCell ref="P29:P33"/>
  </mergeCells>
  <phoneticPr fontId="18" type="noConversion"/>
  <pageMargins left="0.75" right="0.75" top="1" bottom="1" header="0.5" footer="0.5"/>
  <pageSetup paperSize="9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Word.Document.8" shapeId="56321" r:id="rId4">
          <objectPr defaultSize="0" autoPict="0" r:id="rId5">
            <anchor moveWithCells="1">
              <from>
                <xdr:col>0</xdr:col>
                <xdr:colOff>38100</xdr:colOff>
                <xdr:row>0</xdr:row>
                <xdr:rowOff>47625</xdr:rowOff>
              </from>
              <to>
                <xdr:col>7</xdr:col>
                <xdr:colOff>419100</xdr:colOff>
                <xdr:row>32</xdr:row>
                <xdr:rowOff>666750</xdr:rowOff>
              </to>
            </anchor>
          </objectPr>
        </oleObject>
      </mc:Choice>
      <mc:Fallback>
        <oleObject progId="Word.Document.8" shapeId="5632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96</vt:i4>
      </vt:variant>
    </vt:vector>
  </HeadingPairs>
  <TitlesOfParts>
    <vt:vector size="107" baseType="lpstr">
      <vt:lpstr>Main</vt:lpstr>
      <vt:lpstr>ALARP Design</vt:lpstr>
      <vt:lpstr>Circuit Overview</vt:lpstr>
      <vt:lpstr>Soil Model</vt:lpstr>
      <vt:lpstr>Protection</vt:lpstr>
      <vt:lpstr>Safety Criteria</vt:lpstr>
      <vt:lpstr>Earth Grid Calcs</vt:lpstr>
      <vt:lpstr>Fault current calcs</vt:lpstr>
      <vt:lpstr>substations</vt:lpstr>
      <vt:lpstr>Field Checksheet</vt:lpstr>
      <vt:lpstr>Help</vt:lpstr>
      <vt:lpstr>AddTime</vt:lpstr>
      <vt:lpstr>AddTimeStatus</vt:lpstr>
      <vt:lpstr>ap_res</vt:lpstr>
      <vt:lpstr>Argon_used_YN</vt:lpstr>
      <vt:lpstr>BY_limit</vt:lpstr>
      <vt:lpstr>Calc_row_num</vt:lpstr>
      <vt:lpstr>comms_distance</vt:lpstr>
      <vt:lpstr>comms_EPR</vt:lpstr>
      <vt:lpstr>comms_YN</vt:lpstr>
      <vt:lpstr>conductive_pole</vt:lpstr>
      <vt:lpstr>config</vt:lpstr>
      <vt:lpstr>DBZS</vt:lpstr>
      <vt:lpstr>designer_company</vt:lpstr>
      <vt:lpstr>designer_name</vt:lpstr>
      <vt:lpstr>Diligence</vt:lpstr>
      <vt:lpstr>dist_to_1000V</vt:lpstr>
      <vt:lpstr>dist_to_430V</vt:lpstr>
      <vt:lpstr>dist_to_TDMEN</vt:lpstr>
      <vt:lpstr>EF_curve</vt:lpstr>
      <vt:lpstr>EF_pickup</vt:lpstr>
      <vt:lpstr>ef_settings_used</vt:lpstr>
      <vt:lpstr>EF_TL</vt:lpstr>
      <vt:lpstr>EPR</vt:lpstr>
      <vt:lpstr>Equipment</vt:lpstr>
      <vt:lpstr>equipment_type</vt:lpstr>
      <vt:lpstr>F_factor</vt:lpstr>
      <vt:lpstr>f_factor_calc</vt:lpstr>
      <vt:lpstr>feeder</vt:lpstr>
      <vt:lpstr>fences_distance</vt:lpstr>
      <vt:lpstr>fences_EPR</vt:lpstr>
      <vt:lpstr>fences_YN</vt:lpstr>
      <vt:lpstr>FL</vt:lpstr>
      <vt:lpstr>fuse_rating</vt:lpstr>
      <vt:lpstr>GPR</vt:lpstr>
      <vt:lpstr>grad_ring_used</vt:lpstr>
      <vt:lpstr>grad_ring_x1</vt:lpstr>
      <vt:lpstr>h</vt:lpstr>
      <vt:lpstr>h_rho_1</vt:lpstr>
      <vt:lpstr>HiSetStatus</vt:lpstr>
      <vt:lpstr>HiSetTime</vt:lpstr>
      <vt:lpstr>HV_fuse_time</vt:lpstr>
      <vt:lpstr>HV_grid_res</vt:lpstr>
      <vt:lpstr>HV_grid_res_main</vt:lpstr>
      <vt:lpstr>I_f</vt:lpstr>
      <vt:lpstr>IEF</vt:lpstr>
      <vt:lpstr>IEF_Status</vt:lpstr>
      <vt:lpstr>If_max</vt:lpstr>
      <vt:lpstr>If_min</vt:lpstr>
      <vt:lpstr>Ifmax_total</vt:lpstr>
      <vt:lpstr>L</vt:lpstr>
      <vt:lpstr>L_LV</vt:lpstr>
      <vt:lpstr>location</vt:lpstr>
      <vt:lpstr>location_category</vt:lpstr>
      <vt:lpstr>lv_bond</vt:lpstr>
      <vt:lpstr>LV_grid_res</vt:lpstr>
      <vt:lpstr>LV_used_main</vt:lpstr>
      <vt:lpstr>LV_with_MEN</vt:lpstr>
      <vt:lpstr>Max_Fault_Total_Fault</vt:lpstr>
      <vt:lpstr>max_touch_V</vt:lpstr>
      <vt:lpstr>MEN_limit</vt:lpstr>
      <vt:lpstr>MEN_series_length</vt:lpstr>
      <vt:lpstr>MEN_series_Z</vt:lpstr>
      <vt:lpstr>MEN_type</vt:lpstr>
      <vt:lpstr>N</vt:lpstr>
      <vt:lpstr>N_customers</vt:lpstr>
      <vt:lpstr>N_LV</vt:lpstr>
      <vt:lpstr>other_constraints</vt:lpstr>
      <vt:lpstr>other_equipment</vt:lpstr>
      <vt:lpstr>pipes_distance</vt:lpstr>
      <vt:lpstr>pipes_EPR</vt:lpstr>
      <vt:lpstr>pipes_YN</vt:lpstr>
      <vt:lpstr>pole_ring_used</vt:lpstr>
      <vt:lpstr>primary_EF_time</vt:lpstr>
      <vt:lpstr>primary_EF_trip</vt:lpstr>
      <vt:lpstr>'Circuit Overview'!Print_Area</vt:lpstr>
      <vt:lpstr>Main!Print_Area</vt:lpstr>
      <vt:lpstr>'Soil Model'!Print_Area</vt:lpstr>
      <vt:lpstr>prj_num</vt:lpstr>
      <vt:lpstr>rad</vt:lpstr>
      <vt:lpstr>requiv</vt:lpstr>
      <vt:lpstr>res_test_location</vt:lpstr>
      <vt:lpstr>Rho</vt:lpstr>
      <vt:lpstr>Rho_1</vt:lpstr>
      <vt:lpstr>Rho_2</vt:lpstr>
      <vt:lpstr>SEF_operates_YN</vt:lpstr>
      <vt:lpstr>SEF_User</vt:lpstr>
      <vt:lpstr>SEF_YN</vt:lpstr>
      <vt:lpstr>Soil_V_500</vt:lpstr>
      <vt:lpstr>user_limit</vt:lpstr>
      <vt:lpstr>user_limit_note</vt:lpstr>
      <vt:lpstr>V_step_max</vt:lpstr>
      <vt:lpstr>voltage</vt:lpstr>
      <vt:lpstr>Z_MEN</vt:lpstr>
      <vt:lpstr>ZS</vt:lpstr>
      <vt:lpstr>ZS_list</vt:lpstr>
      <vt:lpstr>ZS_other</vt:lpstr>
    </vt:vector>
  </TitlesOfParts>
  <Company>Endeavour Energy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3E Version 2.5</dc:title>
  <dc:subject>3E Version 2.5</dc:subject>
  <dc:creator>Terry.Niemeier@endeavourenergy.com.au;Kris.Shankar@endeavourenergy.com.au</dc:creator>
  <cp:keywords>3E Version 2.5</cp:keywords>
  <dc:description>3E Version 2.5</dc:description>
  <cp:lastModifiedBy>Mark Tan</cp:lastModifiedBy>
  <cp:lastPrinted>2015-01-08T05:27:59Z</cp:lastPrinted>
  <dcterms:created xsi:type="dcterms:W3CDTF">2010-10-21T03:42:07Z</dcterms:created>
  <dcterms:modified xsi:type="dcterms:W3CDTF">2017-06-19T00:22:56Z</dcterms:modified>
  <cp:category>3E Version 2.5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M_Links_Updated">
    <vt:bool>true</vt:bool>
  </property>
</Properties>
</file>