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hplush.sharepoint.com/sites/PLMarketing/Shared Documents/REKLAMA/WWW/Strona www 2023 (2021)/Struktura strony/Sekcje dla specjalistów/Dystrybutor/"/>
    </mc:Choice>
  </mc:AlternateContent>
  <xr:revisionPtr revIDLastSave="3" documentId="8_{A10FD2C3-48F5-4830-98BA-B42B20CBF2E0}" xr6:coauthVersionLast="47" xr6:coauthVersionMax="47" xr10:uidLastSave="{AF26FB96-F2E4-43D8-8D17-B9713427EC5F}"/>
  <workbookProtection workbookPassword="AAB3" lockStructure="1"/>
  <bookViews>
    <workbookView xWindow="-120" yWindow="-120" windowWidth="29040" windowHeight="15840" tabRatio="716" firstSheet="3" activeTab="3" xr2:uid="{00000000-000D-0000-FFFF-FFFF00000000}"/>
  </bookViews>
  <sheets>
    <sheet name="OKŁADKA" sheetId="23" state="hidden" r:id="rId1"/>
    <sheet name="2010 Seite 1" sheetId="18" state="hidden" r:id="rId2"/>
    <sheet name="2010 Seite 2" sheetId="19" state="hidden" r:id="rId3"/>
    <sheet name="2020" sheetId="22" r:id="rId4"/>
    <sheet name="2012 ." sheetId="20" state="hidden" r:id="rId5"/>
    <sheet name="2010 Seite 5" sheetId="21" state="hidden" r:id="rId6"/>
    <sheet name="Flachstuerze 01.07.2008" sheetId="14" state="hidden" r:id="rId7"/>
    <sheet name="PSB - 20 %" sheetId="7" state="hidden" r:id="rId8"/>
    <sheet name="PSB ab 01.02.07 -20%" sheetId="4" state="hidden" r:id="rId9"/>
  </sheets>
  <definedNames>
    <definedName name="_xlnm.Print_Area" localSheetId="1">'2010 Seite 1'!$A$1:$K$55</definedName>
    <definedName name="_xlnm.Print_Area" localSheetId="2">'2010 Seite 2'!$A$1:$L$55</definedName>
    <definedName name="_xlnm.Print_Area" localSheetId="3">'2020'!$A$1:$T$191</definedName>
    <definedName name="_xlnm.Print_Area" localSheetId="0">OKŁADKA!$A$1:$K$65</definedName>
    <definedName name="Print_Area" localSheetId="1">'2010 Seite 1'!$A$1:$K$54</definedName>
    <definedName name="Print_Area" localSheetId="2">'2010 Seite 2'!$A$1:$L$51</definedName>
    <definedName name="Print_Area" localSheetId="4">'2012 .'!$D$1:$O$45</definedName>
    <definedName name="Print_Area" localSheetId="3">'2020'!$A$1:$P$174</definedName>
    <definedName name="Print_Area" localSheetId="6">'Flachstuerze 01.07.2008'!$A$1:$Q$59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2" l="1"/>
  <c r="D71" i="22"/>
  <c r="C71" i="22"/>
  <c r="D58" i="22"/>
  <c r="C58" i="22"/>
  <c r="D62" i="22"/>
  <c r="C62" i="22"/>
  <c r="D61" i="22"/>
  <c r="C61" i="22"/>
  <c r="D55" i="22"/>
  <c r="C55" i="22"/>
  <c r="D63" i="22"/>
  <c r="C63" i="22"/>
  <c r="T8" i="22"/>
  <c r="Q8" i="22"/>
  <c r="R8" i="22"/>
  <c r="P8" i="22"/>
  <c r="E92" i="22" l="1"/>
  <c r="E114" i="22" s="1"/>
  <c r="E91" i="22"/>
  <c r="E87" i="22"/>
  <c r="O90" i="22" l="1"/>
  <c r="F90" i="22"/>
  <c r="N90" i="22"/>
  <c r="M90" i="22"/>
  <c r="K90" i="22"/>
  <c r="I90" i="22"/>
  <c r="G90" i="22"/>
  <c r="E164" i="22" l="1"/>
  <c r="D38" i="22" l="1"/>
  <c r="D42" i="22" s="1"/>
  <c r="E38" i="22"/>
  <c r="E42" i="22" s="1"/>
  <c r="C38" i="22"/>
  <c r="C42" i="22" s="1"/>
  <c r="O25" i="22" l="1"/>
  <c r="O26" i="22"/>
  <c r="M25" i="22"/>
  <c r="M26" i="22"/>
  <c r="K25" i="22"/>
  <c r="K26" i="22"/>
  <c r="O13" i="22"/>
  <c r="O21" i="22" s="1"/>
  <c r="M13" i="22"/>
  <c r="M21" i="22" s="1"/>
  <c r="K13" i="22"/>
  <c r="K21" i="22" s="1"/>
  <c r="I13" i="22"/>
  <c r="I21" i="22" s="1"/>
  <c r="I25" i="22"/>
  <c r="I26" i="22"/>
  <c r="C116" i="22" l="1"/>
  <c r="C113" i="22"/>
  <c r="E113" i="22"/>
  <c r="K120" i="22"/>
  <c r="F120" i="22"/>
  <c r="C120" i="22"/>
  <c r="K119" i="22"/>
  <c r="F119" i="22"/>
  <c r="C20" i="22"/>
  <c r="C19" i="22"/>
  <c r="C78" i="22" l="1"/>
  <c r="D77" i="22"/>
  <c r="C77" i="22"/>
  <c r="D76" i="22"/>
  <c r="C76" i="22"/>
  <c r="D78" i="22"/>
  <c r="F86" i="22"/>
  <c r="F108" i="22" s="1"/>
  <c r="G86" i="22"/>
  <c r="G108" i="22" s="1"/>
  <c r="I86" i="22"/>
  <c r="I108" i="22" s="1"/>
  <c r="K86" i="22"/>
  <c r="K108" i="22" s="1"/>
  <c r="M86" i="22"/>
  <c r="M108" i="22" s="1"/>
  <c r="N86" i="22"/>
  <c r="N108" i="22" s="1"/>
  <c r="O86" i="22"/>
  <c r="C87" i="22"/>
  <c r="C109" i="22" s="1"/>
  <c r="D87" i="22"/>
  <c r="D109" i="22" s="1"/>
  <c r="E109" i="22"/>
  <c r="F87" i="22"/>
  <c r="F109" i="22" s="1"/>
  <c r="G87" i="22"/>
  <c r="G109" i="22" s="1"/>
  <c r="I87" i="22"/>
  <c r="I109" i="22" s="1"/>
  <c r="K87" i="22"/>
  <c r="K109" i="22" s="1"/>
  <c r="L87" i="22"/>
  <c r="L109" i="22" s="1"/>
  <c r="M87" i="22"/>
  <c r="M109" i="22" s="1"/>
  <c r="N87" i="22"/>
  <c r="N109" i="22" s="1"/>
  <c r="O87" i="22"/>
  <c r="O109" i="22" s="1"/>
  <c r="D88" i="22"/>
  <c r="D110" i="22" s="1"/>
  <c r="F88" i="22"/>
  <c r="F110" i="22" s="1"/>
  <c r="G88" i="22"/>
  <c r="G110" i="22" s="1"/>
  <c r="K88" i="22"/>
  <c r="K110" i="22" s="1"/>
  <c r="L88" i="22"/>
  <c r="L110" i="22" s="1"/>
  <c r="M88" i="22"/>
  <c r="M110" i="22" s="1"/>
  <c r="H89" i="22"/>
  <c r="H111" i="22" s="1"/>
  <c r="J89" i="22"/>
  <c r="J111" i="22" s="1"/>
  <c r="L89" i="22"/>
  <c r="L111" i="22" s="1"/>
  <c r="F112" i="22"/>
  <c r="G112" i="22"/>
  <c r="I112" i="22"/>
  <c r="K112" i="22"/>
  <c r="M112" i="22"/>
  <c r="N112" i="22"/>
  <c r="D91" i="22"/>
  <c r="D113" i="22" s="1"/>
  <c r="F91" i="22"/>
  <c r="F113" i="22" s="1"/>
  <c r="G91" i="22"/>
  <c r="G113" i="22" s="1"/>
  <c r="I91" i="22"/>
  <c r="I113" i="22" s="1"/>
  <c r="K91" i="22"/>
  <c r="K113" i="22" s="1"/>
  <c r="M91" i="22"/>
  <c r="M113" i="22" s="1"/>
  <c r="N91" i="22"/>
  <c r="N113" i="22" s="1"/>
  <c r="O91" i="22"/>
  <c r="O113" i="22" s="1"/>
  <c r="D92" i="22"/>
  <c r="D114" i="22" s="1"/>
  <c r="F92" i="22"/>
  <c r="F114" i="22" s="1"/>
  <c r="G92" i="22"/>
  <c r="G114" i="22" s="1"/>
  <c r="K92" i="22"/>
  <c r="K114" i="22" s="1"/>
  <c r="M92" i="22"/>
  <c r="M114" i="22" s="1"/>
  <c r="F93" i="22"/>
  <c r="F115" i="22" s="1"/>
  <c r="G93" i="22"/>
  <c r="G115" i="22" s="1"/>
  <c r="I93" i="22"/>
  <c r="I115" i="22" s="1"/>
  <c r="K93" i="22"/>
  <c r="K115" i="22" s="1"/>
  <c r="M93" i="22"/>
  <c r="M115" i="22" s="1"/>
  <c r="N93" i="22"/>
  <c r="N115" i="22" s="1"/>
  <c r="O93" i="22"/>
  <c r="I183" i="22" l="1"/>
  <c r="I182" i="22"/>
  <c r="I181" i="22"/>
  <c r="I180" i="22"/>
  <c r="I179" i="22"/>
  <c r="I178" i="22"/>
  <c r="I177" i="22"/>
  <c r="E180" i="22"/>
  <c r="F180" i="22"/>
  <c r="H180" i="22"/>
  <c r="H179" i="22"/>
  <c r="E177" i="22"/>
  <c r="F177" i="22"/>
  <c r="H177" i="22"/>
  <c r="F179" i="22"/>
  <c r="F181" i="22"/>
  <c r="F182" i="22"/>
  <c r="F183" i="22"/>
  <c r="F178" i="22"/>
  <c r="E183" i="22"/>
  <c r="E182" i="22"/>
  <c r="E181" i="22"/>
  <c r="E179" i="22"/>
  <c r="E178" i="22"/>
  <c r="H183" i="22"/>
  <c r="H182" i="22"/>
  <c r="H181" i="22"/>
  <c r="H178" i="22"/>
  <c r="L132" i="22"/>
  <c r="J132" i="22"/>
  <c r="H132" i="22"/>
  <c r="L131" i="22"/>
  <c r="J131" i="22"/>
  <c r="H131" i="22"/>
  <c r="L130" i="22"/>
  <c r="J130" i="22"/>
  <c r="H130" i="22"/>
  <c r="L96" i="22"/>
  <c r="L118" i="22" s="1"/>
  <c r="J96" i="22"/>
  <c r="J118" i="22" s="1"/>
  <c r="H96" i="22"/>
  <c r="H118" i="22" s="1"/>
  <c r="K105" i="22" l="1"/>
  <c r="K127" i="22" s="1"/>
  <c r="M105" i="22"/>
  <c r="M127" i="22" s="1"/>
  <c r="N105" i="22"/>
  <c r="N127" i="22" s="1"/>
  <c r="O105" i="22"/>
  <c r="O127" i="22" s="1"/>
  <c r="D105" i="22"/>
  <c r="D127" i="22" s="1"/>
  <c r="E105" i="22"/>
  <c r="E127" i="22" s="1"/>
  <c r="F105" i="22"/>
  <c r="F127" i="22" s="1"/>
  <c r="G105" i="22"/>
  <c r="G127" i="22" s="1"/>
  <c r="C105" i="22"/>
  <c r="C127" i="22" s="1"/>
  <c r="M104" i="22"/>
  <c r="M126" i="22" s="1"/>
  <c r="N104" i="22"/>
  <c r="N126" i="22" s="1"/>
  <c r="O104" i="22"/>
  <c r="K104" i="22"/>
  <c r="K126" i="22" s="1"/>
  <c r="G104" i="22"/>
  <c r="G126" i="22" s="1"/>
  <c r="F104" i="22"/>
  <c r="F126" i="22" s="1"/>
  <c r="M103" i="22"/>
  <c r="M125" i="22" s="1"/>
  <c r="N103" i="22"/>
  <c r="O103" i="22"/>
  <c r="K103" i="22"/>
  <c r="D153" i="22" l="1"/>
  <c r="E153" i="22"/>
  <c r="C153" i="22"/>
  <c r="M102" i="22" l="1"/>
  <c r="M124" i="22" s="1"/>
  <c r="K102" i="22"/>
  <c r="K124" i="22" s="1"/>
  <c r="G102" i="22"/>
  <c r="G124" i="22" s="1"/>
  <c r="F102" i="22"/>
  <c r="F124" i="22" s="1"/>
  <c r="D102" i="22"/>
  <c r="D124" i="22" s="1"/>
  <c r="M95" i="22"/>
  <c r="M117" i="22" s="1"/>
  <c r="K95" i="22"/>
  <c r="K117" i="22" s="1"/>
  <c r="G95" i="22"/>
  <c r="G117" i="22" s="1"/>
  <c r="F95" i="22"/>
  <c r="F117" i="22" s="1"/>
  <c r="D95" i="22"/>
  <c r="D117" i="22" s="1"/>
  <c r="D101" i="22" l="1"/>
  <c r="D123" i="22" s="1"/>
  <c r="E101" i="22"/>
  <c r="E123" i="22" s="1"/>
  <c r="F101" i="22"/>
  <c r="F123" i="22" s="1"/>
  <c r="G101" i="22"/>
  <c r="G123" i="22" s="1"/>
  <c r="I101" i="22"/>
  <c r="I123" i="22" s="1"/>
  <c r="K101" i="22"/>
  <c r="K123" i="22" s="1"/>
  <c r="M101" i="22"/>
  <c r="M123" i="22" s="1"/>
  <c r="N101" i="22"/>
  <c r="N123" i="22" s="1"/>
  <c r="O101" i="22"/>
  <c r="O123" i="22" s="1"/>
  <c r="C101" i="22"/>
  <c r="C123" i="22" s="1"/>
  <c r="G100" i="22"/>
  <c r="G122" i="22" s="1"/>
  <c r="I100" i="22"/>
  <c r="I122" i="22" s="1"/>
  <c r="K100" i="22"/>
  <c r="K122" i="22" s="1"/>
  <c r="M100" i="22"/>
  <c r="M122" i="22" s="1"/>
  <c r="N100" i="22"/>
  <c r="N122" i="22" s="1"/>
  <c r="O100" i="22"/>
  <c r="F100" i="22"/>
  <c r="F122" i="22" s="1"/>
  <c r="K97" i="22"/>
  <c r="F97" i="22"/>
  <c r="C154" i="22" l="1"/>
  <c r="D154" i="22"/>
  <c r="D120" i="22" s="1"/>
  <c r="E154" i="22"/>
  <c r="D94" i="22"/>
  <c r="D116" i="22" s="1"/>
  <c r="E94" i="22"/>
  <c r="E116" i="22" s="1"/>
  <c r="F94" i="22"/>
  <c r="F116" i="22" s="1"/>
  <c r="G94" i="22"/>
  <c r="G116" i="22" s="1"/>
  <c r="I94" i="22"/>
  <c r="I116" i="22" s="1"/>
  <c r="K94" i="22"/>
  <c r="K116" i="22" s="1"/>
  <c r="M94" i="22"/>
  <c r="M116" i="22" s="1"/>
  <c r="N94" i="22"/>
  <c r="N116" i="22" s="1"/>
  <c r="O94" i="22"/>
  <c r="O116" i="22" s="1"/>
  <c r="D12" i="22" l="1"/>
  <c r="D20" i="22" s="1"/>
  <c r="E12" i="22"/>
  <c r="E20" i="22" s="1"/>
  <c r="F12" i="22"/>
  <c r="F20" i="22" s="1"/>
  <c r="G12" i="22"/>
  <c r="G20" i="22" s="1"/>
  <c r="T26" i="22" l="1"/>
  <c r="M99" i="22" l="1"/>
  <c r="N99" i="22"/>
  <c r="O99" i="22"/>
  <c r="K99" i="22"/>
  <c r="O144" i="22" l="1"/>
  <c r="N144" i="22"/>
  <c r="M144" i="22"/>
  <c r="K144" i="22"/>
  <c r="G144" i="22"/>
  <c r="F144" i="22"/>
  <c r="E144" i="22"/>
  <c r="D144" i="22"/>
  <c r="C144" i="22"/>
  <c r="O143" i="22"/>
  <c r="N143" i="22"/>
  <c r="M143" i="22"/>
  <c r="K143" i="22"/>
  <c r="G143" i="22"/>
  <c r="F143" i="22"/>
  <c r="E143" i="22"/>
  <c r="D143" i="22"/>
  <c r="C143" i="22"/>
  <c r="O138" i="22"/>
  <c r="N138" i="22"/>
  <c r="M138" i="22"/>
  <c r="K138" i="22"/>
  <c r="I138" i="22"/>
  <c r="G138" i="22"/>
  <c r="F138" i="22"/>
  <c r="E138" i="22"/>
  <c r="D138" i="22"/>
  <c r="C138" i="22"/>
  <c r="O137" i="22"/>
  <c r="N137" i="22"/>
  <c r="M137" i="22"/>
  <c r="K137" i="22"/>
  <c r="I137" i="22"/>
  <c r="G137" i="22"/>
  <c r="F137" i="22"/>
  <c r="E137" i="22"/>
  <c r="D137" i="22"/>
  <c r="C137" i="22"/>
  <c r="E11" i="22"/>
  <c r="E19" i="22" s="1"/>
  <c r="D11" i="22"/>
  <c r="Q9" i="22" l="1"/>
  <c r="Q10" i="22"/>
  <c r="Q26" i="22"/>
  <c r="Q25" i="22"/>
  <c r="F98" i="22"/>
  <c r="K98" i="22"/>
  <c r="D98" i="22"/>
  <c r="C98" i="22"/>
  <c r="H173" i="22"/>
  <c r="F173" i="22"/>
  <c r="E173" i="22"/>
  <c r="H172" i="22"/>
  <c r="F172" i="22"/>
  <c r="E172" i="22"/>
  <c r="H171" i="22"/>
  <c r="F171" i="22"/>
  <c r="E171" i="22"/>
  <c r="H170" i="22"/>
  <c r="F170" i="22"/>
  <c r="E170" i="22"/>
  <c r="H169" i="22"/>
  <c r="F169" i="22"/>
  <c r="E169" i="22"/>
  <c r="H168" i="22"/>
  <c r="F168" i="22"/>
  <c r="E168" i="22"/>
  <c r="H167" i="22"/>
  <c r="F167" i="22"/>
  <c r="E167" i="22"/>
  <c r="H166" i="22"/>
  <c r="F166" i="22"/>
  <c r="E166" i="22"/>
  <c r="H165" i="22"/>
  <c r="F165" i="22"/>
  <c r="E165" i="22"/>
  <c r="H164" i="22"/>
  <c r="F164" i="22"/>
  <c r="D37" i="22" l="1"/>
  <c r="D41" i="22" s="1"/>
  <c r="E37" i="22"/>
  <c r="E41" i="22" s="1"/>
  <c r="C37" i="22"/>
  <c r="C41" i="22" s="1"/>
  <c r="E47" i="22"/>
  <c r="D47" i="22"/>
  <c r="C47" i="22"/>
  <c r="E46" i="22"/>
  <c r="D46" i="22"/>
  <c r="C46" i="22"/>
  <c r="G11" i="22"/>
  <c r="G19" i="22" s="1"/>
  <c r="H11" i="22"/>
  <c r="H19" i="22" s="1"/>
  <c r="J11" i="22"/>
  <c r="J19" i="22" s="1"/>
  <c r="L11" i="22"/>
  <c r="L19" i="22" s="1"/>
  <c r="N11" i="22"/>
  <c r="N19" i="22" s="1"/>
  <c r="P11" i="22"/>
  <c r="P19" i="22" s="1"/>
  <c r="F11" i="22"/>
  <c r="F19" i="22" s="1"/>
  <c r="R9" i="22" l="1"/>
  <c r="R26" i="22"/>
  <c r="R25" i="22"/>
  <c r="H43" i="20" l="1"/>
  <c r="F43" i="20"/>
  <c r="E43" i="20"/>
  <c r="H42" i="20"/>
  <c r="F42" i="20"/>
  <c r="E42" i="20"/>
  <c r="H41" i="20"/>
  <c r="F41" i="20"/>
  <c r="E41" i="20"/>
  <c r="H40" i="20"/>
  <c r="F40" i="20"/>
  <c r="E40" i="20"/>
  <c r="H39" i="20"/>
  <c r="F39" i="20"/>
  <c r="E39" i="20"/>
  <c r="H38" i="20"/>
  <c r="F38" i="20"/>
  <c r="E38" i="20"/>
  <c r="H37" i="20"/>
  <c r="F37" i="20"/>
  <c r="E37" i="20"/>
  <c r="H36" i="20"/>
  <c r="F36" i="20"/>
  <c r="E36" i="20"/>
  <c r="H35" i="20"/>
  <c r="F35" i="20"/>
  <c r="E35" i="20"/>
  <c r="H34" i="20"/>
  <c r="F34" i="20"/>
  <c r="E34" i="20"/>
  <c r="E21" i="20"/>
  <c r="G21" i="20"/>
  <c r="E22" i="20"/>
  <c r="G22" i="20"/>
  <c r="E23" i="20"/>
  <c r="G23" i="20"/>
  <c r="E24" i="20"/>
  <c r="G24" i="20"/>
  <c r="E25" i="20"/>
  <c r="G25" i="20"/>
  <c r="E26" i="20"/>
  <c r="G26" i="20"/>
  <c r="G30" i="20"/>
  <c r="E30" i="20"/>
  <c r="G29" i="20"/>
  <c r="E29" i="20"/>
  <c r="G28" i="20"/>
  <c r="E28" i="20"/>
  <c r="G27" i="20"/>
  <c r="E27" i="20"/>
  <c r="I10" i="20" l="1"/>
  <c r="J10" i="20" s="1"/>
  <c r="I9" i="20"/>
  <c r="J9" i="20" s="1"/>
  <c r="I8" i="20"/>
  <c r="J8" i="20" s="1"/>
  <c r="I11" i="20"/>
  <c r="J11" i="20" s="1"/>
  <c r="I12" i="20"/>
  <c r="J12" i="20" s="1"/>
  <c r="I14" i="20"/>
  <c r="J14" i="20" s="1"/>
  <c r="I15" i="20"/>
  <c r="J15" i="20" s="1"/>
  <c r="I16" i="20"/>
  <c r="J16" i="20" s="1"/>
  <c r="I13" i="20"/>
  <c r="J13" i="20" s="1"/>
  <c r="G8" i="20"/>
  <c r="H8" i="20" s="1"/>
  <c r="G10" i="20"/>
  <c r="H10" i="20" s="1"/>
  <c r="G9" i="20"/>
  <c r="H9" i="20" s="1"/>
  <c r="K30" i="21"/>
  <c r="Q30" i="21"/>
  <c r="AC43" i="21"/>
  <c r="Q43" i="21"/>
  <c r="K43" i="21"/>
  <c r="AC42" i="21"/>
  <c r="Q42" i="21"/>
  <c r="K42" i="21"/>
  <c r="AC41" i="21"/>
  <c r="Q41" i="21"/>
  <c r="K41" i="2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C25" i="22"/>
  <c r="T25" i="22"/>
  <c r="S25" i="22"/>
  <c r="P12" i="22"/>
  <c r="P20" i="22" s="1"/>
  <c r="N12" i="22"/>
  <c r="N20" i="22" s="1"/>
  <c r="L12" i="22"/>
  <c r="L20" i="22" s="1"/>
  <c r="J12" i="22"/>
  <c r="J20" i="22" s="1"/>
  <c r="H12" i="22"/>
  <c r="H20" i="22" s="1"/>
  <c r="S10" i="22"/>
  <c r="P10" i="22"/>
  <c r="N10" i="22"/>
  <c r="L10" i="22"/>
  <c r="J10" i="22"/>
  <c r="H10" i="22"/>
  <c r="T9" i="22"/>
  <c r="P9" i="22"/>
  <c r="N9" i="22"/>
  <c r="L9" i="22"/>
  <c r="K34" i="21"/>
  <c r="Q34" i="21"/>
  <c r="AC34" i="21"/>
  <c r="O132" i="22"/>
  <c r="O131" i="22"/>
  <c r="S26" i="22"/>
  <c r="P25" i="22"/>
  <c r="N25" i="22"/>
  <c r="L25" i="22"/>
  <c r="J25" i="22"/>
  <c r="H25" i="22"/>
  <c r="G25" i="22"/>
  <c r="F25" i="22"/>
  <c r="E25" i="22"/>
  <c r="D25" i="22"/>
  <c r="P26" i="22"/>
  <c r="N26" i="22"/>
  <c r="L26" i="22"/>
  <c r="J26" i="22"/>
  <c r="H26" i="22"/>
  <c r="G26" i="22"/>
  <c r="F26" i="22"/>
  <c r="E26" i="22"/>
  <c r="D26" i="22"/>
  <c r="C26" i="22"/>
  <c r="E132" i="22"/>
  <c r="E159" i="22"/>
  <c r="D159" i="22"/>
  <c r="C159" i="22"/>
  <c r="E158" i="22"/>
  <c r="D158" i="22"/>
  <c r="C158" i="22"/>
  <c r="E131" i="22"/>
  <c r="N131" i="22"/>
  <c r="M131" i="22"/>
  <c r="K131" i="22"/>
  <c r="I131" i="22"/>
  <c r="G131" i="22"/>
  <c r="F131" i="22"/>
  <c r="D131" i="22"/>
  <c r="C131" i="22"/>
  <c r="N132" i="22"/>
  <c r="M132" i="22"/>
  <c r="K132" i="22"/>
  <c r="I132" i="22"/>
  <c r="G132" i="22"/>
  <c r="F132" i="22"/>
  <c r="D132" i="22"/>
  <c r="C132" i="22"/>
  <c r="AC37" i="21"/>
  <c r="Q37" i="21"/>
  <c r="K37" i="21"/>
  <c r="AC36" i="21"/>
  <c r="Q36" i="21"/>
  <c r="K36" i="21"/>
  <c r="AC35" i="21"/>
  <c r="Q35" i="21"/>
  <c r="K35" i="21"/>
  <c r="AC29" i="21"/>
  <c r="Q29" i="21"/>
  <c r="K29" i="21"/>
  <c r="AC28" i="21"/>
  <c r="Q28" i="21"/>
  <c r="K28" i="21"/>
  <c r="AC27" i="21"/>
  <c r="Q27" i="21"/>
  <c r="K27" i="21"/>
  <c r="AC26" i="21"/>
  <c r="Q26" i="21"/>
  <c r="K26" i="21"/>
  <c r="AC25" i="21"/>
  <c r="Q25" i="21"/>
  <c r="K25" i="21"/>
  <c r="AC20" i="21"/>
  <c r="Q20" i="21"/>
  <c r="K20" i="21"/>
  <c r="AC19" i="21"/>
  <c r="Q19" i="21"/>
  <c r="K19" i="21"/>
  <c r="AC18" i="21"/>
  <c r="Q18" i="21"/>
  <c r="K18" i="21"/>
  <c r="AC17" i="21"/>
  <c r="Q17" i="21"/>
  <c r="K17" i="21"/>
  <c r="AC16" i="21"/>
  <c r="Q16" i="21"/>
  <c r="K16" i="21"/>
  <c r="AC15" i="21"/>
  <c r="Q15" i="21"/>
  <c r="K15" i="21"/>
  <c r="AC14" i="21"/>
  <c r="Q14" i="21"/>
  <c r="K14" i="21"/>
  <c r="AC13" i="21"/>
  <c r="Q13" i="21"/>
  <c r="K13" i="21"/>
  <c r="AC12" i="21"/>
  <c r="Q12" i="21"/>
  <c r="K12" i="21"/>
  <c r="AC11" i="21"/>
  <c r="Q11" i="21"/>
  <c r="K11" i="21"/>
  <c r="AC10" i="21"/>
  <c r="Q10" i="21"/>
  <c r="K10" i="21"/>
  <c r="AC9" i="21"/>
  <c r="Q9" i="21"/>
  <c r="K9" i="21"/>
  <c r="AC8" i="21"/>
  <c r="Q8" i="21"/>
  <c r="K8" i="21"/>
  <c r="AC7" i="21"/>
  <c r="Q7" i="21"/>
  <c r="K7" i="21"/>
  <c r="O13" i="14"/>
  <c r="O12" i="14"/>
  <c r="O11" i="14"/>
  <c r="N17" i="14"/>
  <c r="O17" i="14" s="1"/>
  <c r="N16" i="14"/>
  <c r="O16" i="14" s="1"/>
  <c r="N15" i="14"/>
  <c r="O15" i="14" s="1"/>
  <c r="N14" i="14"/>
  <c r="O14" i="14" s="1"/>
  <c r="N13" i="14"/>
  <c r="N12" i="14"/>
  <c r="N11" i="14"/>
  <c r="E63" i="7"/>
  <c r="E62" i="7"/>
  <c r="E61" i="7"/>
  <c r="E60" i="7"/>
  <c r="N51" i="7"/>
  <c r="M51" i="7" s="1"/>
  <c r="N50" i="7"/>
  <c r="M50" i="7" s="1"/>
  <c r="N49" i="7"/>
  <c r="M49" i="7" s="1"/>
  <c r="L51" i="7"/>
  <c r="K51" i="7" s="1"/>
  <c r="L50" i="7"/>
  <c r="K50" i="7" s="1"/>
  <c r="L49" i="7"/>
  <c r="K49" i="7" s="1"/>
  <c r="J48" i="7"/>
  <c r="I48" i="7" s="1"/>
  <c r="J47" i="7"/>
  <c r="I47" i="7" s="1"/>
  <c r="J46" i="7"/>
  <c r="J45" i="7"/>
  <c r="I45" i="7" s="1"/>
  <c r="J44" i="7"/>
  <c r="I44" i="7" s="1"/>
  <c r="J43" i="7"/>
  <c r="I43" i="7" s="1"/>
  <c r="H51" i="7"/>
  <c r="G51" i="7" s="1"/>
  <c r="H50" i="7"/>
  <c r="G50" i="7" s="1"/>
  <c r="H49" i="7"/>
  <c r="G49" i="7" s="1"/>
  <c r="H48" i="7"/>
  <c r="G48" i="7" s="1"/>
  <c r="H46" i="7"/>
  <c r="G46" i="7" s="1"/>
  <c r="F51" i="7"/>
  <c r="E51" i="7" s="1"/>
  <c r="F50" i="7"/>
  <c r="E50" i="7" s="1"/>
  <c r="F49" i="7"/>
  <c r="E49" i="7" s="1"/>
  <c r="F48" i="7"/>
  <c r="E48" i="7" s="1"/>
  <c r="F46" i="7"/>
  <c r="E46" i="7" s="1"/>
  <c r="O21" i="7"/>
  <c r="N21" i="7" s="1"/>
  <c r="O20" i="7"/>
  <c r="M20" i="7" s="1"/>
  <c r="O19" i="7"/>
  <c r="N19" i="7" s="1"/>
  <c r="O18" i="7"/>
  <c r="M18" i="7" s="1"/>
  <c r="O17" i="7"/>
  <c r="N17" i="7" s="1"/>
  <c r="L21" i="7"/>
  <c r="K21" i="7" s="1"/>
  <c r="L20" i="7"/>
  <c r="K20" i="7" s="1"/>
  <c r="L19" i="7"/>
  <c r="K19" i="7" s="1"/>
  <c r="L18" i="7"/>
  <c r="K18" i="7" s="1"/>
  <c r="L17" i="7"/>
  <c r="K17" i="7" s="1"/>
  <c r="L16" i="7"/>
  <c r="K16" i="7" s="1"/>
  <c r="L15" i="7"/>
  <c r="K15" i="7" s="1"/>
  <c r="L14" i="7"/>
  <c r="K14" i="7" s="1"/>
  <c r="L13" i="7"/>
  <c r="K13" i="7" s="1"/>
  <c r="J21" i="7"/>
  <c r="I21" i="7" s="1"/>
  <c r="J20" i="7"/>
  <c r="I20" i="7" s="1"/>
  <c r="J19" i="7"/>
  <c r="I19" i="7" s="1"/>
  <c r="J18" i="7"/>
  <c r="I18" i="7" s="1"/>
  <c r="J17" i="7"/>
  <c r="J16" i="7"/>
  <c r="I16" i="7" s="1"/>
  <c r="J15" i="7"/>
  <c r="I15" i="7" s="1"/>
  <c r="J14" i="7"/>
  <c r="I14" i="7" s="1"/>
  <c r="J13" i="7"/>
  <c r="I13" i="7" s="1"/>
  <c r="H17" i="7"/>
  <c r="G17" i="7" s="1"/>
  <c r="H18" i="7"/>
  <c r="G18" i="7" s="1"/>
  <c r="H19" i="7"/>
  <c r="G19" i="7" s="1"/>
  <c r="H20" i="7"/>
  <c r="G20" i="7" s="1"/>
  <c r="H21" i="7"/>
  <c r="G21" i="7" s="1"/>
  <c r="H16" i="7"/>
  <c r="G16" i="7" s="1"/>
  <c r="H15" i="7"/>
  <c r="G15" i="7" s="1"/>
  <c r="H14" i="7"/>
  <c r="G14" i="7" s="1"/>
  <c r="H13" i="7"/>
  <c r="G13" i="7" s="1"/>
  <c r="F18" i="7"/>
  <c r="E18" i="7" s="1"/>
  <c r="F17" i="7"/>
  <c r="E17" i="7" s="1"/>
  <c r="F19" i="7"/>
  <c r="E19" i="7" s="1"/>
  <c r="F20" i="7"/>
  <c r="E20" i="7" s="1"/>
  <c r="F21" i="7"/>
  <c r="E21" i="7" s="1"/>
  <c r="F15" i="7"/>
  <c r="E15" i="7" s="1"/>
  <c r="F16" i="7"/>
  <c r="E16" i="7" s="1"/>
  <c r="I46" i="7"/>
  <c r="I17" i="7"/>
  <c r="F18" i="4"/>
  <c r="N55" i="4"/>
  <c r="M54" i="4"/>
  <c r="N53" i="4"/>
  <c r="L55" i="4"/>
  <c r="K54" i="4"/>
  <c r="J52" i="4"/>
  <c r="I51" i="4"/>
  <c r="J49" i="4"/>
  <c r="I49" i="4"/>
  <c r="J47" i="4"/>
  <c r="I47" i="4"/>
  <c r="G55" i="4"/>
  <c r="H54" i="4"/>
  <c r="G53" i="4"/>
  <c r="H52" i="4"/>
  <c r="G50" i="4"/>
  <c r="E54" i="4"/>
  <c r="F53" i="4"/>
  <c r="E52" i="4"/>
  <c r="F50" i="4"/>
  <c r="F21" i="4"/>
  <c r="F19" i="4"/>
  <c r="F16" i="4"/>
  <c r="F37" i="4"/>
  <c r="F35" i="4"/>
  <c r="F33" i="4"/>
  <c r="H38" i="4"/>
  <c r="H36" i="4"/>
  <c r="H34" i="4"/>
  <c r="H32" i="4"/>
  <c r="H30" i="4"/>
  <c r="J37" i="4"/>
  <c r="J35" i="4"/>
  <c r="J33" i="4"/>
  <c r="J31" i="4"/>
  <c r="L38" i="4"/>
  <c r="L36" i="4"/>
  <c r="L34" i="4"/>
  <c r="L32" i="4"/>
  <c r="L30" i="4"/>
  <c r="L16" i="4"/>
  <c r="L14" i="4"/>
  <c r="J21" i="4"/>
  <c r="J19" i="4"/>
  <c r="J17" i="4"/>
  <c r="J16" i="4"/>
  <c r="J15" i="4"/>
  <c r="J14" i="4"/>
  <c r="J13" i="4"/>
  <c r="O38" i="4"/>
  <c r="O36" i="4"/>
  <c r="O34" i="4"/>
  <c r="N37" i="4"/>
  <c r="M38" i="4"/>
  <c r="M36" i="4"/>
  <c r="M34" i="4"/>
  <c r="K38" i="4"/>
  <c r="I38" i="4"/>
  <c r="G38" i="4"/>
  <c r="K37" i="4"/>
  <c r="I37" i="4"/>
  <c r="G37" i="4"/>
  <c r="K36" i="4"/>
  <c r="I36" i="4"/>
  <c r="G36" i="4"/>
  <c r="K35" i="4"/>
  <c r="I35" i="4"/>
  <c r="G35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E38" i="4"/>
  <c r="E37" i="4"/>
  <c r="E36" i="4"/>
  <c r="E35" i="4"/>
  <c r="E34" i="4"/>
  <c r="E33" i="4"/>
  <c r="E32" i="4"/>
  <c r="O20" i="4"/>
  <c r="O18" i="4"/>
  <c r="N21" i="4"/>
  <c r="N19" i="4"/>
  <c r="M20" i="4"/>
  <c r="M18" i="4"/>
  <c r="I21" i="4"/>
  <c r="H21" i="4"/>
  <c r="G21" i="4"/>
  <c r="K20" i="4"/>
  <c r="I20" i="4"/>
  <c r="I19" i="4"/>
  <c r="H19" i="4"/>
  <c r="G19" i="4"/>
  <c r="K18" i="4"/>
  <c r="K17" i="4"/>
  <c r="H17" i="4"/>
  <c r="G17" i="4"/>
  <c r="K16" i="4"/>
  <c r="K15" i="4"/>
  <c r="H15" i="4"/>
  <c r="G15" i="4"/>
  <c r="K14" i="4"/>
  <c r="K13" i="4"/>
  <c r="H13" i="4"/>
  <c r="G13" i="4"/>
  <c r="E21" i="4"/>
  <c r="E20" i="4"/>
  <c r="E19" i="4"/>
  <c r="E18" i="4"/>
  <c r="E17" i="4"/>
  <c r="E16" i="4"/>
  <c r="E15" i="4"/>
  <c r="K68" i="4"/>
  <c r="K67" i="4"/>
  <c r="K66" i="4"/>
  <c r="I72" i="4"/>
  <c r="I71" i="4"/>
  <c r="G72" i="4"/>
  <c r="G71" i="4"/>
  <c r="G70" i="4"/>
  <c r="G69" i="4"/>
  <c r="E72" i="4"/>
  <c r="E71" i="4"/>
  <c r="E70" i="4"/>
  <c r="E69" i="4"/>
  <c r="N54" i="4"/>
  <c r="M55" i="4"/>
  <c r="M53" i="4"/>
  <c r="L54" i="4"/>
  <c r="L53" i="4"/>
  <c r="K55" i="4"/>
  <c r="K53" i="4"/>
  <c r="J51" i="4"/>
  <c r="J48" i="4"/>
  <c r="I52" i="4"/>
  <c r="I50" i="4"/>
  <c r="I48" i="4"/>
  <c r="H55" i="4"/>
  <c r="H53" i="4"/>
  <c r="H50" i="4"/>
  <c r="G54" i="4"/>
  <c r="G52" i="4"/>
  <c r="F54" i="4"/>
  <c r="F52" i="4"/>
  <c r="E55" i="4"/>
  <c r="E53" i="4"/>
  <c r="E50" i="4"/>
  <c r="O37" i="4"/>
  <c r="O35" i="4"/>
  <c r="N38" i="4"/>
  <c r="N36" i="4"/>
  <c r="M37" i="4"/>
  <c r="M35" i="4"/>
  <c r="L37" i="4"/>
  <c r="L35" i="4"/>
  <c r="L33" i="4"/>
  <c r="L31" i="4"/>
  <c r="J38" i="4"/>
  <c r="J36" i="4"/>
  <c r="J34" i="4"/>
  <c r="J32" i="4"/>
  <c r="J30" i="4"/>
  <c r="H37" i="4"/>
  <c r="H35" i="4"/>
  <c r="H33" i="4"/>
  <c r="H31" i="4"/>
  <c r="F38" i="4"/>
  <c r="F36" i="4"/>
  <c r="F34" i="4"/>
  <c r="F32" i="4"/>
  <c r="O21" i="4"/>
  <c r="O19" i="4"/>
  <c r="O17" i="4"/>
  <c r="N20" i="4"/>
  <c r="M21" i="4"/>
  <c r="M19" i="4"/>
  <c r="M17" i="4"/>
  <c r="L21" i="4"/>
  <c r="K21" i="4"/>
  <c r="L20" i="4"/>
  <c r="L19" i="4"/>
  <c r="K19" i="4"/>
  <c r="L17" i="4"/>
  <c r="L15" i="4"/>
  <c r="L13" i="4"/>
  <c r="J20" i="4"/>
  <c r="I18" i="4"/>
  <c r="I17" i="4"/>
  <c r="I16" i="4"/>
  <c r="I15" i="4"/>
  <c r="I14" i="4"/>
  <c r="I13" i="4"/>
  <c r="F20" i="4"/>
  <c r="F17" i="4"/>
  <c r="F15" i="4"/>
  <c r="H20" i="4"/>
  <c r="H18" i="4"/>
  <c r="H16" i="4"/>
  <c r="H14" i="4"/>
  <c r="G20" i="4"/>
  <c r="G18" i="4"/>
  <c r="G16" i="4"/>
  <c r="G14" i="4"/>
  <c r="L18" i="4"/>
  <c r="J18" i="4"/>
  <c r="F55" i="4"/>
  <c r="J50" i="4"/>
  <c r="N20" i="7" l="1"/>
  <c r="M19" i="7"/>
  <c r="M21" i="7"/>
  <c r="M17" i="7"/>
  <c r="N18" i="7"/>
</calcChain>
</file>

<file path=xl/sharedStrings.xml><?xml version="1.0" encoding="utf-8"?>
<sst xmlns="http://schemas.openxmlformats.org/spreadsheetml/2006/main" count="1537" uniqueCount="356">
  <si>
    <t>LUZ</t>
  </si>
  <si>
    <t>szt.</t>
  </si>
  <si>
    <t>m3</t>
  </si>
  <si>
    <t>x</t>
  </si>
  <si>
    <t>Lp</t>
  </si>
  <si>
    <t>Odmiana  600</t>
  </si>
  <si>
    <t>P+W</t>
  </si>
  <si>
    <t>P+W+U</t>
  </si>
  <si>
    <t>PALETA</t>
  </si>
  <si>
    <t>GŁADKIE</t>
  </si>
  <si>
    <t>Odmiana  500 , 700</t>
  </si>
  <si>
    <t>Odmiana  500 , 600</t>
  </si>
  <si>
    <t>U</t>
  </si>
  <si>
    <t>.+  U</t>
  </si>
  <si>
    <t>L</t>
  </si>
  <si>
    <t>Sztuka</t>
  </si>
  <si>
    <t>Beton komorkowy Szary w Skawinie</t>
  </si>
  <si>
    <t>Beton Komórkowy Biały w Warszawie, Puławach, Gorzkowicach i w Lidzbarku</t>
  </si>
  <si>
    <t>Elementy uzupełniające</t>
  </si>
  <si>
    <t>CENY NETTO LOCO ZAKŁADY PRODUKCYJNE</t>
  </si>
  <si>
    <t>Lp.</t>
  </si>
  <si>
    <t>Szer.</t>
  </si>
  <si>
    <t>Wys.</t>
  </si>
  <si>
    <t>Dłu.</t>
  </si>
  <si>
    <t>Asortyment betonu komórkowego                      (wymiary w mm)</t>
  </si>
  <si>
    <r>
      <t>U + 4 cm</t>
    </r>
    <r>
      <rPr>
        <b/>
        <sz val="9"/>
        <rFont val="Arial"/>
        <family val="2"/>
        <charset val="238"/>
      </rPr>
      <t xml:space="preserve"> styropian</t>
    </r>
  </si>
  <si>
    <r>
      <t xml:space="preserve">Płytka + 4 cm </t>
    </r>
    <r>
      <rPr>
        <b/>
        <sz val="10"/>
        <rFont val="Arial"/>
        <family val="2"/>
        <charset val="238"/>
      </rPr>
      <t>styropian</t>
    </r>
  </si>
  <si>
    <t>CENNIK DLA FIRMY  PSB OD 01.02.2007</t>
  </si>
  <si>
    <t>Elementy uzupełniające dostępne w Warszawie , Puławach i w Skawinie</t>
  </si>
  <si>
    <r>
      <t>zaprawa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GPLM</t>
    </r>
  </si>
  <si>
    <r>
      <t xml:space="preserve">zaprawa </t>
    </r>
    <r>
      <rPr>
        <b/>
        <sz val="12"/>
        <rFont val="Arial"/>
        <family val="2"/>
        <charset val="238"/>
      </rPr>
      <t>GPLM</t>
    </r>
  </si>
  <si>
    <r>
      <t xml:space="preserve">klej </t>
    </r>
    <r>
      <rPr>
        <b/>
        <sz val="12"/>
        <rFont val="Arial"/>
        <family val="2"/>
        <charset val="238"/>
      </rPr>
      <t>TLMA</t>
    </r>
  </si>
  <si>
    <r>
      <t>klej</t>
    </r>
    <r>
      <rPr>
        <b/>
        <sz val="12"/>
        <rFont val="Arial"/>
        <family val="2"/>
        <charset val="238"/>
      </rPr>
      <t xml:space="preserve"> TLMA</t>
    </r>
  </si>
  <si>
    <r>
      <t>klej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 TLMA</t>
    </r>
  </si>
  <si>
    <r>
      <t xml:space="preserve">klej </t>
    </r>
    <r>
      <rPr>
        <b/>
        <sz val="12"/>
        <rFont val="Arial"/>
        <family val="2"/>
        <charset val="238"/>
      </rPr>
      <t xml:space="preserve"> TLMA</t>
    </r>
  </si>
  <si>
    <r>
      <t>klej</t>
    </r>
    <r>
      <rPr>
        <b/>
        <sz val="9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TLMA</t>
    </r>
  </si>
  <si>
    <t>Warszawa</t>
  </si>
  <si>
    <t>Puławy</t>
  </si>
  <si>
    <t>Gorzkowice</t>
  </si>
  <si>
    <t>Lidzbark</t>
  </si>
  <si>
    <t>Skawina</t>
  </si>
  <si>
    <t>Szt.na Pal.</t>
  </si>
  <si>
    <t>m3 na Pal</t>
  </si>
  <si>
    <t>Ilość szt. na m3</t>
  </si>
  <si>
    <t>* dodatkowo na palecie znajduje się 8 sztuk " 12 "</t>
  </si>
  <si>
    <r>
      <t>176</t>
    </r>
    <r>
      <rPr>
        <sz val="12"/>
        <color indexed="10"/>
        <rFont val="Arial"/>
        <family val="2"/>
        <charset val="238"/>
      </rPr>
      <t>*</t>
    </r>
  </si>
  <si>
    <t>Przeliczniki</t>
  </si>
  <si>
    <t>Uwaga! Cennik nie stanowi oferty w rozumieniu prawa handlowego</t>
  </si>
  <si>
    <t xml:space="preserve">U Kształtki      </t>
  </si>
  <si>
    <t>CENNIK</t>
  </si>
  <si>
    <r>
      <t>Kształtka</t>
    </r>
    <r>
      <rPr>
        <b/>
        <sz val="12"/>
        <rFont val="Arial"/>
        <family val="2"/>
        <charset val="238"/>
      </rPr>
      <t xml:space="preserve"> U</t>
    </r>
  </si>
  <si>
    <t>TLMA</t>
  </si>
  <si>
    <t>GPLM</t>
  </si>
  <si>
    <t>*w odmianie 500 nie występują płytki w asortymencie 60, 80 i 100 mm</t>
  </si>
  <si>
    <t>Przeliczniki oraz dostępność bloczków w poszczególnych zakładach</t>
  </si>
  <si>
    <t>Beton Komórkowy Szary - dostępny w Skawinie</t>
  </si>
  <si>
    <t>Cennik nie stanowi oferty w rozumieniu prawa handlowego.</t>
  </si>
  <si>
    <r>
      <t xml:space="preserve">Oznaczenie TLMA i GPLM zgodnie z normą </t>
    </r>
    <r>
      <rPr>
        <b/>
        <sz val="12"/>
        <rFont val="Arial"/>
        <family val="2"/>
        <charset val="238"/>
      </rPr>
      <t>PN-EN 771-4:2004</t>
    </r>
    <r>
      <rPr>
        <sz val="12"/>
        <rFont val="Arial"/>
        <family val="2"/>
        <charset val="238"/>
      </rPr>
      <t xml:space="preserve"> wraz ze zmianą </t>
    </r>
    <r>
      <rPr>
        <b/>
        <sz val="12"/>
        <rFont val="Arial"/>
        <family val="2"/>
        <charset val="238"/>
      </rPr>
      <t>PN-EN 771-4:2004/A1:2006</t>
    </r>
  </si>
  <si>
    <t>Zakłady produkcyjne H+H POLSKA Sp.z o.o.</t>
  </si>
  <si>
    <t>WARSZAWA</t>
  </si>
  <si>
    <t>PUŁAWY</t>
  </si>
  <si>
    <t>GORZKOWICE</t>
  </si>
  <si>
    <t>LIDZBARK</t>
  </si>
  <si>
    <t>SKAWINA</t>
  </si>
  <si>
    <t>ul. Marywilska 42c</t>
  </si>
  <si>
    <t>ul. Kwiatkowskiego 2</t>
  </si>
  <si>
    <t>ul. Przemysłowa 40</t>
  </si>
  <si>
    <t>ul. Przemysłowa 14</t>
  </si>
  <si>
    <t>ul. Energetyków 1</t>
  </si>
  <si>
    <t>03-042 Warszawa</t>
  </si>
  <si>
    <t>24-100 Puławy</t>
  </si>
  <si>
    <t>37-350 Gorzkowice</t>
  </si>
  <si>
    <t>13-230 Lidzbark</t>
  </si>
  <si>
    <t>32-050 Skawina</t>
  </si>
  <si>
    <t>tel. 022/811 46 12</t>
  </si>
  <si>
    <t>fax. 022/811 01 51 w.104</t>
  </si>
  <si>
    <t>fax. 023/696 11 73</t>
  </si>
  <si>
    <t>tel. 023/696 11 75</t>
  </si>
  <si>
    <t>tel. 081/ 886 30 86</t>
  </si>
  <si>
    <t>fax. 081/886 30 86 w.134</t>
  </si>
  <si>
    <t>tel. 044/681 80 87</t>
  </si>
  <si>
    <t>fax. 044/681 80 87</t>
  </si>
  <si>
    <t>tel. 012/276 17 55</t>
  </si>
  <si>
    <t>tel. 012/276 28 42</t>
  </si>
  <si>
    <t>tel. 022/51 84 100 do 102</t>
  </si>
  <si>
    <t>fax. 022/51 84 104</t>
  </si>
  <si>
    <t>tel. 022/ 51 84 130 do 132</t>
  </si>
  <si>
    <t>tel. 022/ 51 84 160 do 162</t>
  </si>
  <si>
    <t>fax. 022/51 84 134</t>
  </si>
  <si>
    <t>fax. 022/51 84 164</t>
  </si>
  <si>
    <t>tel. 022/ 51 84 190 do 192</t>
  </si>
  <si>
    <t>fax. 022/ 51 84 194</t>
  </si>
  <si>
    <t>tel. 022/51 84 220 do 222</t>
  </si>
  <si>
    <t>fax. 022/51 84 224</t>
  </si>
  <si>
    <t xml:space="preserve">nowe numery (obowiązujące od 1 stycznia 2007r.) - wyżej wymienione numery są również aktualne </t>
  </si>
  <si>
    <t>CENY LOCO ZAKŁADY PRODUKCYJNE</t>
  </si>
  <si>
    <r>
      <t xml:space="preserve">Strona internetowa </t>
    </r>
    <r>
      <rPr>
        <b/>
        <u/>
        <sz val="16"/>
        <color indexed="17"/>
        <rFont val="Arial"/>
        <family val="2"/>
        <charset val="238"/>
      </rPr>
      <t>www.HplusH.pl</t>
    </r>
  </si>
  <si>
    <t>Sąd Rejonowy dla M. St. Warszawy, XIII Wydział Gospodarczy Krajowego Rejestru Sądowego</t>
  </si>
  <si>
    <t>Numer KRS: 0000231550</t>
  </si>
  <si>
    <t>REGON 140101184</t>
  </si>
  <si>
    <t>NIP 5262851983</t>
  </si>
  <si>
    <t>Wysokość kapitału zakładowego 50 050 000,00 PLN</t>
  </si>
  <si>
    <r>
      <t>H+H POLSKA Sp. z o.o.</t>
    </r>
    <r>
      <rPr>
        <sz val="8"/>
        <color indexed="8"/>
        <rFont val="Arial"/>
        <family val="2"/>
        <charset val="238"/>
      </rPr>
      <t>, ul. Marywilska 42c, 03-042 Warszawa tel.: 022 51 84 000; fax: 022 51 84 108</t>
    </r>
  </si>
  <si>
    <t>Odmiana 500 i  600</t>
  </si>
  <si>
    <t>Cena za 1 Sztukę</t>
  </si>
  <si>
    <t>wymiary</t>
  </si>
  <si>
    <t xml:space="preserve">Dopłata wynosi 15 PLN / m3 </t>
  </si>
  <si>
    <t>Nie we wszystkich naszych zakładach produkowane są bloczki z Pióro- Wpustem oraz bloczki z Pióro Wpustem i uchwytem montażowym.</t>
  </si>
  <si>
    <t>Dostępność ich należy uzgodnić z właściwym dla Państwa Regionalnym Przedstawicielem Handlowym.</t>
  </si>
  <si>
    <t>Odmiana 700 dostępna jest wyłącznie na zamówienie . Dostępność jej należy uzgodnić z właściwym dla  Państwa Regionalnym Przedstawicielem handlowym</t>
  </si>
  <si>
    <t>Cennik obowiązuje od dnia 14 Maja 2007r. Do cen należy doliczyć 22% VAT</t>
  </si>
  <si>
    <t>Beton Komórkowy Biały - dostępny w Warszawie, Puławach, Gorzkowicach i Lidzbarku</t>
  </si>
  <si>
    <r>
      <t xml:space="preserve">Palety fakturowane są w cenie </t>
    </r>
    <r>
      <rPr>
        <b/>
        <sz val="12"/>
        <color indexed="10"/>
        <rFont val="Arial"/>
        <family val="2"/>
      </rPr>
      <t>18 PLN (netto)</t>
    </r>
    <r>
      <rPr>
        <sz val="12"/>
        <color indexed="10"/>
        <rFont val="Arial"/>
        <family val="2"/>
      </rPr>
      <t>,</t>
    </r>
    <r>
      <rPr>
        <sz val="12"/>
        <rFont val="Arial"/>
        <family val="2"/>
        <charset val="238"/>
      </rPr>
      <t xml:space="preserve"> rozliczanie palet w formie faktur VAT</t>
    </r>
  </si>
  <si>
    <t>CENNIK HANDLOWY</t>
  </si>
  <si>
    <t>Zakład Warszawa</t>
  </si>
  <si>
    <t>Zakład Puławy</t>
  </si>
  <si>
    <t>Zakład Gorzkowice</t>
  </si>
  <si>
    <t>Zakład Lidzbark</t>
  </si>
  <si>
    <t>Zakład Skawina</t>
  </si>
  <si>
    <t>Odmiana</t>
  </si>
  <si>
    <t>TLMB</t>
  </si>
  <si>
    <t>Przewodność cieplna</t>
  </si>
  <si>
    <t xml:space="preserve">wymiary w ( mm ) </t>
  </si>
  <si>
    <t>Dług.</t>
  </si>
  <si>
    <t>szt/ pal</t>
  </si>
  <si>
    <t>m3/pal</t>
  </si>
  <si>
    <t>szt/m3</t>
  </si>
  <si>
    <t>-</t>
  </si>
  <si>
    <t>Rodzaj bloczków i klasa wytrzymałości</t>
  </si>
  <si>
    <t>Klasa gęstości</t>
  </si>
  <si>
    <t>625 mm</t>
  </si>
  <si>
    <t>115 mm</t>
  </si>
  <si>
    <t>250 mm</t>
  </si>
  <si>
    <t>175 mm</t>
  </si>
  <si>
    <t>200 mm</t>
  </si>
  <si>
    <t>240 mm</t>
  </si>
  <si>
    <t>300 mm</t>
  </si>
  <si>
    <t>365 mm</t>
  </si>
  <si>
    <t>600 PLN</t>
  </si>
  <si>
    <t>500 PLN</t>
  </si>
  <si>
    <t>400 PLN</t>
  </si>
  <si>
    <t>P4 - 0,60</t>
  </si>
  <si>
    <t>Cennik obowiązuje od dnia 01.07.2008r. do odwołania.  Do cen należy doliczyć 22% VAT</t>
  </si>
  <si>
    <t>Kg/Szt. *</t>
  </si>
  <si>
    <t>Kg /Pal *</t>
  </si>
  <si>
    <t>* Waga belek zaokrąglona jest  do pełnych kilogramów</t>
  </si>
  <si>
    <t>FRANCO</t>
  </si>
  <si>
    <t>CENY LOCO Zakład</t>
  </si>
  <si>
    <t>022/ 51 84 130 - 132</t>
  </si>
  <si>
    <t>022/51 84 100 - 102</t>
  </si>
  <si>
    <t>022/ 51 84 160 - 162</t>
  </si>
  <si>
    <t>022/ 51 84 190 - 192</t>
  </si>
  <si>
    <t>022/51 84 220 - 222</t>
  </si>
  <si>
    <t>Ceny ustalone są w Walucie PLN</t>
  </si>
  <si>
    <t>Rodzaj</t>
  </si>
  <si>
    <t xml:space="preserve">H+H Płaskie belki nadprożowe  dostępne w każdym Zakładzie H+H Polska Sp.z o.o. </t>
  </si>
  <si>
    <t xml:space="preserve">H+H Płaska Belka Nadprożowa </t>
  </si>
  <si>
    <t>Standardowe wielkości płaskich belek nadprożowych dla ścian nośnych, zgodnie z dopuszczeniem.                                                                    Wartość obliczeniowa ciężaru własnego wg.DIN 1055:7,2 kN/m3 .</t>
  </si>
  <si>
    <r>
      <t xml:space="preserve">l = </t>
    </r>
    <r>
      <rPr>
        <sz val="11"/>
        <rFont val="Arial"/>
        <family val="2"/>
        <charset val="238"/>
      </rPr>
      <t>0,16 W / (mK)</t>
    </r>
  </si>
  <si>
    <r>
      <t xml:space="preserve">Palety fakturowane są w cenie </t>
    </r>
    <r>
      <rPr>
        <b/>
        <sz val="11"/>
        <color indexed="21"/>
        <rFont val="Arial"/>
        <family val="2"/>
        <charset val="238"/>
      </rPr>
      <t>42 PLN (netto</t>
    </r>
    <r>
      <rPr>
        <sz val="11"/>
        <color indexed="21"/>
        <rFont val="Arial"/>
        <family val="2"/>
        <charset val="238"/>
      </rPr>
      <t>),</t>
    </r>
    <r>
      <rPr>
        <sz val="11"/>
        <rFont val="Arial"/>
        <family val="2"/>
        <charset val="238"/>
      </rPr>
      <t xml:space="preserve"> rozliczanie palet w formie faktur VAT.</t>
    </r>
  </si>
  <si>
    <r>
      <t>Niniejszy Cennik nie stanowi oferty w rozumieniu</t>
    </r>
    <r>
      <rPr>
        <sz val="11"/>
        <color indexed="21"/>
        <rFont val="Arial"/>
        <family val="2"/>
        <charset val="238"/>
      </rPr>
      <t xml:space="preserve"> Art. 71</t>
    </r>
    <r>
      <rPr>
        <sz val="11"/>
        <color indexed="17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Kodeksu Cywilnego.</t>
    </r>
  </si>
  <si>
    <t>długość</t>
  </si>
  <si>
    <t>szerokość</t>
  </si>
  <si>
    <t>wysokość</t>
  </si>
  <si>
    <t>590 mm</t>
  </si>
  <si>
    <t xml:space="preserve">na zamówienie </t>
  </si>
  <si>
    <t xml:space="preserve">Oznaczenie TLMA i GPLM jest zgodne z normą PN-EN 771-4:2004 </t>
  </si>
  <si>
    <t>PP2-0,40</t>
  </si>
  <si>
    <t>PP6-0,70</t>
  </si>
  <si>
    <t>Stawki</t>
  </si>
  <si>
    <t xml:space="preserve">* Wyrównanie różnicy w cenie ( wartość netto ) transportu z tytułu niepełnego załadunku </t>
  </si>
  <si>
    <t>betonu komórkowego, natomiast n/w liczba oznacza górną granicę gęstości objętościowej w stanie suchym.</t>
  </si>
  <si>
    <t xml:space="preserve">Oznaczenie TLMB jest zgodne z normą PN-EN 771-4:2004 </t>
  </si>
  <si>
    <t>szt./ pal</t>
  </si>
  <si>
    <t>125 mm</t>
  </si>
  <si>
    <t>PLN / szt</t>
  </si>
  <si>
    <t>PLN / mb</t>
  </si>
  <si>
    <t>360 mm</t>
  </si>
  <si>
    <t>420 mm</t>
  </si>
  <si>
    <t>szt./pal.</t>
  </si>
  <si>
    <t>mb / pal.</t>
  </si>
  <si>
    <t>waga / szt.</t>
  </si>
  <si>
    <t>waga / pal.</t>
  </si>
  <si>
    <t>1250 mm</t>
  </si>
  <si>
    <t xml:space="preserve">1500 mm </t>
  </si>
  <si>
    <t>2000 mm</t>
  </si>
  <si>
    <t>2500 mm</t>
  </si>
  <si>
    <t>3000 mm</t>
  </si>
  <si>
    <t xml:space="preserve">240 mm </t>
  </si>
  <si>
    <t xml:space="preserve">420 mm </t>
  </si>
  <si>
    <t xml:space="preserve">500 mm </t>
  </si>
  <si>
    <t xml:space="preserve">Przeliczniki </t>
  </si>
  <si>
    <t>120 mm</t>
  </si>
  <si>
    <t>150 mm</t>
  </si>
  <si>
    <t>180 mm</t>
  </si>
  <si>
    <t>60 / 80 / 100 mm</t>
  </si>
  <si>
    <t>300 / 365 / mm</t>
  </si>
  <si>
    <t>50 / 75 / 100 mm</t>
  </si>
  <si>
    <t>250mm</t>
  </si>
  <si>
    <t>GPLM *</t>
  </si>
  <si>
    <t>625mm</t>
  </si>
  <si>
    <r>
      <t>do 7 m</t>
    </r>
    <r>
      <rPr>
        <vertAlign val="superscript"/>
        <sz val="8"/>
        <rFont val="Arial"/>
        <family val="2"/>
        <charset val="238"/>
      </rPr>
      <t xml:space="preserve">3 </t>
    </r>
  </si>
  <si>
    <r>
      <t>do 15 m</t>
    </r>
    <r>
      <rPr>
        <vertAlign val="superscript"/>
        <sz val="8"/>
        <rFont val="Arial"/>
        <family val="2"/>
        <charset val="238"/>
      </rPr>
      <t>3</t>
    </r>
  </si>
  <si>
    <r>
      <t>do 25 m</t>
    </r>
    <r>
      <rPr>
        <vertAlign val="superscript"/>
        <sz val="8"/>
        <rFont val="Arial"/>
        <family val="2"/>
        <charset val="238"/>
      </rPr>
      <t>3</t>
    </r>
  </si>
  <si>
    <r>
      <t xml:space="preserve">PP </t>
    </r>
    <r>
      <rPr>
        <sz val="8"/>
        <color indexed="8"/>
        <rFont val="Arial"/>
        <family val="2"/>
        <charset val="238"/>
      </rPr>
      <t xml:space="preserve">oznacza bloczki o dużej dokładności do murowania na cienką spoinę. Towarzysząca mu liczba określa klasę </t>
    </r>
  </si>
  <si>
    <t xml:space="preserve">365 mm </t>
  </si>
  <si>
    <t>PP3-0,50</t>
  </si>
  <si>
    <t xml:space="preserve">Dopłata za  niepełny załadunek samochod ( wg. podanych stawek ) </t>
  </si>
  <si>
    <t>360 i 420 mm</t>
  </si>
  <si>
    <t>PP1,5 - 0,30</t>
  </si>
  <si>
    <t>PP2-0,35</t>
  </si>
  <si>
    <t xml:space="preserve"> 480 mm *</t>
  </si>
  <si>
    <t>PP4-0,55/0,60</t>
  </si>
  <si>
    <t xml:space="preserve">*przy produkcji bloczków PP1,5 -0,30 i PP2-350 o szerokości 480 mm długość bloczka wynosi 625 mm </t>
  </si>
  <si>
    <t>410 mm</t>
  </si>
  <si>
    <t xml:space="preserve">Odmiana 700 w zakładzie Lidzbark jest dostępna wyłącznie na zamówienie </t>
  </si>
  <si>
    <t xml:space="preserve">Odmiany 400 i 500 w zakładzie Skawina są dostępne  wyłącznie na zamówienie </t>
  </si>
  <si>
    <t xml:space="preserve">Bloczki z pióro-wpustem oraz z pióro-wpustem i uchwytem montażowym dostępne są w zakładach Warszawa i Skawina. Dostępność ich należy uzgadniać z właściwym dla Państwa Regionalnym Przedstawicielem Handlowym. </t>
  </si>
  <si>
    <t xml:space="preserve">Bloczki z piórem -wpustem dostępne są w zakładzie Puławy a w zakładzie w Lidzbarku tylko gładkie </t>
  </si>
  <si>
    <t xml:space="preserve">*Skawina </t>
  </si>
  <si>
    <t xml:space="preserve">Bloczki białe dostępne w zakładach: Warszawa, Puławy, Lidzbark </t>
  </si>
  <si>
    <t>Płytki białe</t>
  </si>
  <si>
    <t>Bloczki szare dostepne w zakładzie Skawina</t>
  </si>
  <si>
    <t>Płytki szare</t>
  </si>
  <si>
    <t>Płytki TLMB</t>
  </si>
  <si>
    <t xml:space="preserve">Thermostein </t>
  </si>
  <si>
    <t>Kształtki U</t>
  </si>
  <si>
    <t xml:space="preserve">Bloczki TLMB dostępne w zakładzie Gorzkowice </t>
  </si>
  <si>
    <t>480 mm</t>
  </si>
  <si>
    <r>
      <t xml:space="preserve">Ceny Netto PLN  za </t>
    </r>
    <r>
      <rPr>
        <b/>
        <sz val="8"/>
        <color rgb="FF006643"/>
        <rFont val="Arial"/>
        <family val="2"/>
        <charset val="238"/>
      </rPr>
      <t xml:space="preserve">1 m3 </t>
    </r>
  </si>
  <si>
    <r>
      <t>Ceny Netto PLN  za</t>
    </r>
    <r>
      <rPr>
        <b/>
        <sz val="6"/>
        <color rgb="FF006643"/>
        <rFont val="Arial"/>
        <family val="2"/>
        <charset val="238"/>
      </rPr>
      <t xml:space="preserve"> </t>
    </r>
    <r>
      <rPr>
        <b/>
        <sz val="8"/>
        <color rgb="FF006643"/>
        <rFont val="Arial"/>
        <family val="2"/>
        <charset val="238"/>
      </rPr>
      <t xml:space="preserve">1 m3 </t>
    </r>
  </si>
  <si>
    <r>
      <t>Ceny Netto PLN  za</t>
    </r>
    <r>
      <rPr>
        <b/>
        <sz val="6"/>
        <color rgb="FF006643"/>
        <rFont val="Arial"/>
        <family val="2"/>
        <charset val="238"/>
      </rPr>
      <t xml:space="preserve"> </t>
    </r>
    <r>
      <rPr>
        <b/>
        <sz val="8"/>
        <color rgb="FF006643"/>
        <rFont val="Arial"/>
        <family val="2"/>
        <charset val="238"/>
      </rPr>
      <t xml:space="preserve">1 m2 </t>
    </r>
  </si>
  <si>
    <r>
      <t>m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 / pal.</t>
    </r>
  </si>
  <si>
    <r>
      <t>szt./ m</t>
    </r>
    <r>
      <rPr>
        <b/>
        <vertAlign val="superscript"/>
        <sz val="8"/>
        <rFont val="Arial"/>
        <family val="2"/>
        <charset val="238"/>
      </rPr>
      <t>3</t>
    </r>
  </si>
  <si>
    <t xml:space="preserve">Przelicznki  dla nadproży </t>
  </si>
  <si>
    <t xml:space="preserve">Zakład Gorzkowice </t>
  </si>
  <si>
    <t xml:space="preserve">Zakłada Warszawa </t>
  </si>
  <si>
    <r>
      <t>Przelicznki  dla kształtek U</t>
    </r>
    <r>
      <rPr>
        <b/>
        <sz val="8"/>
        <color indexed="21"/>
        <rFont val="Arial"/>
        <family val="2"/>
        <charset val="238"/>
      </rPr>
      <t xml:space="preserve"> </t>
    </r>
  </si>
  <si>
    <t xml:space="preserve">Przeliczniki i Wagi dla  nadproży </t>
  </si>
  <si>
    <t xml:space="preserve">Zakłada Puławy </t>
  </si>
  <si>
    <r>
      <t>Beton Komórkowy - Cennik Handlowy -</t>
    </r>
    <r>
      <rPr>
        <b/>
        <sz val="10"/>
        <color rgb="FF006643"/>
        <rFont val="Arial"/>
        <family val="2"/>
        <charset val="238"/>
      </rPr>
      <t xml:space="preserve"> Loco zakład </t>
    </r>
    <r>
      <rPr>
        <b/>
        <sz val="10"/>
        <rFont val="Arial"/>
        <family val="2"/>
        <charset val="238"/>
      </rPr>
      <t xml:space="preserve">- GPLM -TLMA </t>
    </r>
  </si>
  <si>
    <r>
      <t xml:space="preserve">Wymiary bloczków = długość: 590 ;625* mm; </t>
    </r>
    <r>
      <rPr>
        <b/>
        <sz val="8"/>
        <color rgb="FF006643"/>
        <rFont val="Arial"/>
        <family val="2"/>
        <charset val="238"/>
      </rPr>
      <t>szerokość: 50 - 420 mm</t>
    </r>
    <r>
      <rPr>
        <sz val="8"/>
        <color rgb="FF006643"/>
        <rFont val="Arial"/>
        <family val="2"/>
        <charset val="238"/>
      </rPr>
      <t xml:space="preserve">; wysokość: 240 ; 250* mm </t>
    </r>
  </si>
  <si>
    <r>
      <t xml:space="preserve">* Bloczki </t>
    </r>
    <r>
      <rPr>
        <b/>
        <sz val="6"/>
        <color rgb="FF006643"/>
        <rFont val="Arial"/>
        <family val="2"/>
        <charset val="238"/>
      </rPr>
      <t>GPLM</t>
    </r>
    <r>
      <rPr>
        <sz val="6"/>
        <color rgb="FF006643"/>
        <rFont val="Arial"/>
        <family val="2"/>
        <charset val="238"/>
      </rPr>
      <t xml:space="preserve"> dostępne są tylko w zakładzie Lidzbark </t>
    </r>
  </si>
  <si>
    <r>
      <t xml:space="preserve">Cena palety wynosi </t>
    </r>
    <r>
      <rPr>
        <b/>
        <sz val="8"/>
        <color rgb="FF006643"/>
        <rFont val="Arial"/>
        <family val="2"/>
        <charset val="238"/>
      </rPr>
      <t>22 PLN (netto)</t>
    </r>
    <r>
      <rPr>
        <sz val="8"/>
        <color indexed="21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palety rozliczane będą na podstawie faktur VAT.</t>
    </r>
  </si>
  <si>
    <r>
      <t>Niniejszy Cennik nie stanowi oferty w rozumieniu</t>
    </r>
    <r>
      <rPr>
        <b/>
        <sz val="8"/>
        <color indexed="21"/>
        <rFont val="Arial"/>
        <family val="2"/>
        <charset val="238"/>
      </rPr>
      <t xml:space="preserve"> </t>
    </r>
    <r>
      <rPr>
        <b/>
        <sz val="8"/>
        <color rgb="FF006643"/>
        <rFont val="Arial"/>
        <family val="2"/>
        <charset val="238"/>
      </rPr>
      <t>Art. 71</t>
    </r>
    <r>
      <rPr>
        <b/>
        <sz val="8"/>
        <color indexed="21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Kodeksu Cywilnego.</t>
    </r>
  </si>
  <si>
    <r>
      <t>Beton Komórkowy - Cennik Handlowy -</t>
    </r>
    <r>
      <rPr>
        <b/>
        <sz val="10"/>
        <color indexed="21"/>
        <rFont val="Arial"/>
        <family val="2"/>
        <charset val="238"/>
      </rPr>
      <t xml:space="preserve"> </t>
    </r>
    <r>
      <rPr>
        <b/>
        <sz val="10"/>
        <color rgb="FF006643"/>
        <rFont val="Arial"/>
        <family val="2"/>
        <charset val="238"/>
      </rPr>
      <t>Franco</t>
    </r>
    <r>
      <rPr>
        <b/>
        <sz val="10"/>
        <color indexed="21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- TLMB</t>
    </r>
  </si>
  <si>
    <r>
      <t xml:space="preserve">Wymiary bloczków = długość: 500 ;625 mm; </t>
    </r>
    <r>
      <rPr>
        <b/>
        <sz val="8"/>
        <color rgb="FF006643"/>
        <rFont val="Arial"/>
        <family val="2"/>
        <charset val="238"/>
      </rPr>
      <t>szerokość: 50 - 480 mm</t>
    </r>
    <r>
      <rPr>
        <sz val="8"/>
        <color rgb="FF006643"/>
        <rFont val="Arial"/>
        <family val="2"/>
        <charset val="238"/>
      </rPr>
      <t xml:space="preserve">; wysokość: 250 mm </t>
    </r>
  </si>
  <si>
    <r>
      <t>Cena palety wynosi</t>
    </r>
    <r>
      <rPr>
        <sz val="8"/>
        <color indexed="21"/>
        <rFont val="Arial"/>
        <family val="2"/>
        <charset val="238"/>
      </rPr>
      <t xml:space="preserve"> </t>
    </r>
    <r>
      <rPr>
        <b/>
        <sz val="8"/>
        <color rgb="FF006643"/>
        <rFont val="Arial"/>
        <family val="2"/>
        <charset val="238"/>
      </rPr>
      <t>22 PLN (netto)</t>
    </r>
    <r>
      <rPr>
        <sz val="8"/>
        <rFont val="Arial"/>
        <family val="2"/>
        <charset val="238"/>
      </rPr>
      <t>, palety rozliczane będą na podstawie faktur VAT.</t>
    </r>
  </si>
  <si>
    <r>
      <t>Niniejszy Cennik nie stanowi oferty w rozumieniu</t>
    </r>
    <r>
      <rPr>
        <b/>
        <sz val="8"/>
        <color rgb="FF006643"/>
        <rFont val="Arial"/>
        <family val="2"/>
        <charset val="238"/>
      </rPr>
      <t xml:space="preserve"> Art. 71</t>
    </r>
    <r>
      <rPr>
        <b/>
        <sz val="8"/>
        <color indexed="1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Kodeksu Cywilnego.</t>
    </r>
  </si>
  <si>
    <r>
      <t>Ceny obowiązują od dnia</t>
    </r>
    <r>
      <rPr>
        <b/>
        <sz val="8"/>
        <color indexed="21"/>
        <rFont val="Arial"/>
        <family val="2"/>
        <charset val="238"/>
      </rPr>
      <t xml:space="preserve"> </t>
    </r>
    <r>
      <rPr>
        <b/>
        <sz val="8"/>
        <color rgb="FF006643"/>
        <rFont val="Arial"/>
        <family val="2"/>
        <charset val="238"/>
      </rPr>
      <t>01.02.2011</t>
    </r>
    <r>
      <rPr>
        <sz val="8"/>
        <color rgb="FF006643"/>
        <rFont val="Arial"/>
        <family val="2"/>
        <charset val="238"/>
      </rPr>
      <t>r</t>
    </r>
    <r>
      <rPr>
        <sz val="8"/>
        <rFont val="Arial"/>
        <family val="2"/>
        <charset val="238"/>
      </rPr>
      <t xml:space="preserve"> Do cen należy doliczyć 23 % VAT</t>
    </r>
  </si>
  <si>
    <r>
      <t>Ceny obowiązują od dnia</t>
    </r>
    <r>
      <rPr>
        <sz val="8"/>
        <color rgb="FF006643"/>
        <rFont val="Arial"/>
        <family val="2"/>
        <charset val="238"/>
      </rPr>
      <t xml:space="preserve"> </t>
    </r>
    <r>
      <rPr>
        <b/>
        <sz val="8"/>
        <color rgb="FF006643"/>
        <rFont val="Arial"/>
        <family val="2"/>
        <charset val="238"/>
      </rPr>
      <t>01.02.2011r</t>
    </r>
    <r>
      <rPr>
        <b/>
        <sz val="8"/>
        <color indexed="21"/>
        <rFont val="Arial"/>
        <family val="2"/>
        <charset val="238"/>
      </rPr>
      <t xml:space="preserve">. </t>
    </r>
    <r>
      <rPr>
        <sz val="8"/>
        <rFont val="Arial"/>
        <family val="2"/>
        <charset val="238"/>
      </rPr>
      <t>Do cen należy doliczyć 23 % VAT</t>
    </r>
  </si>
  <si>
    <t xml:space="preserve">Podane ceny obowiazują przy dostawach  pełnych  załadunków. </t>
  </si>
  <si>
    <t>Bloczki o szerokości 50, 75, 100 mm są gładkie, natomiast przy szerokości 115 ma powierzchnie profilowaną, bloczki od 150 mm mają powierzchnie czołową profilowaną na pióro i wpust i uchwyt motnażowy .</t>
  </si>
  <si>
    <t xml:space="preserve">TLMA </t>
  </si>
  <si>
    <t>35% Rabatt</t>
  </si>
  <si>
    <t xml:space="preserve">35 % Rabatt </t>
  </si>
  <si>
    <t>+</t>
  </si>
  <si>
    <t>loco</t>
  </si>
  <si>
    <t xml:space="preserve">PP2 =155+28 transport ( bis 300 km ) </t>
  </si>
  <si>
    <t xml:space="preserve">PP4 = 155+32 transport ( bis 300 km ) </t>
  </si>
  <si>
    <t>35 % Rabatt</t>
  </si>
  <si>
    <t xml:space="preserve">135 + 25 </t>
  </si>
  <si>
    <t xml:space="preserve">PP4 = 155+25+27 transport ( bis 200 km ) </t>
  </si>
  <si>
    <t xml:space="preserve">Ceny Loco </t>
  </si>
  <si>
    <t xml:space="preserve">Ceny Franco </t>
  </si>
  <si>
    <t>tlmb</t>
  </si>
  <si>
    <t xml:space="preserve">Warszawa , Puławy , Lidzbark </t>
  </si>
  <si>
    <t xml:space="preserve">Gorzkowice , Skawina </t>
  </si>
  <si>
    <t xml:space="preserve">Zakłady Produkcyjne  </t>
  </si>
  <si>
    <t xml:space="preserve">                Cennik wewnętrzny dla pracowników H+H </t>
  </si>
  <si>
    <t>156*</t>
  </si>
  <si>
    <t xml:space="preserve">Przeliczniki dla H+H nadproży  </t>
  </si>
  <si>
    <t>H+H płaskie belki nadprożowe nośne</t>
  </si>
  <si>
    <t xml:space="preserve">szt. </t>
  </si>
  <si>
    <t>max. otwór       ( mb.)</t>
  </si>
  <si>
    <t xml:space="preserve">* * *kształtki U w zakładzie Puławy pakowane są w ilościach 24 i 35 sztuk na palecie </t>
  </si>
  <si>
    <t>500 mm *</t>
  </si>
  <si>
    <t>75 mm</t>
  </si>
  <si>
    <t>100 mm</t>
  </si>
  <si>
    <t>80 mm</t>
  </si>
  <si>
    <t>1500 mm</t>
  </si>
  <si>
    <r>
      <t>m</t>
    </r>
    <r>
      <rPr>
        <vertAlign val="superscript"/>
        <sz val="10"/>
        <color rgb="FF006643"/>
        <rFont val="Arial"/>
        <family val="2"/>
        <charset val="238"/>
      </rPr>
      <t xml:space="preserve">3 </t>
    </r>
  </si>
  <si>
    <r>
      <t>m</t>
    </r>
    <r>
      <rPr>
        <vertAlign val="superscript"/>
        <sz val="10"/>
        <color rgb="FF006643"/>
        <rFont val="Arial"/>
        <family val="2"/>
        <charset val="238"/>
      </rPr>
      <t>3</t>
    </r>
  </si>
  <si>
    <r>
      <t>m</t>
    </r>
    <r>
      <rPr>
        <b/>
        <vertAlign val="superscript"/>
        <sz val="10"/>
        <color rgb="FF006643"/>
        <rFont val="Arial"/>
        <family val="2"/>
        <charset val="238"/>
      </rPr>
      <t>3</t>
    </r>
    <r>
      <rPr>
        <b/>
        <sz val="10"/>
        <color rgb="FF006643"/>
        <rFont val="Arial"/>
        <family val="2"/>
        <charset val="238"/>
      </rPr>
      <t xml:space="preserve"> / pal.</t>
    </r>
  </si>
  <si>
    <r>
      <t>szt./ m</t>
    </r>
    <r>
      <rPr>
        <b/>
        <vertAlign val="superscript"/>
        <sz val="10"/>
        <color rgb="FF006643"/>
        <rFont val="Arial"/>
        <family val="2"/>
        <charset val="238"/>
      </rPr>
      <t>3</t>
    </r>
  </si>
  <si>
    <t xml:space="preserve">Wymiary bloczków szer/ wys/ dług. ( 60 ,80 ,100 mm,…. x 240 mm  x 590 mm ) </t>
  </si>
  <si>
    <t xml:space="preserve">Elementy uzupełniające systemu H+H --Ceny Loco zakład i  Franco </t>
  </si>
  <si>
    <t xml:space="preserve">* zakład Gorzkowice </t>
  </si>
  <si>
    <t xml:space="preserve">Wymiary bloczków szer/wys/dług  ( 50 , 75, 100 mm ,…. x 250 mm  x 625 mm ) </t>
  </si>
  <si>
    <t xml:space="preserve">Wymiary bloczków szer/wys/dług  (75, 100, 115 mm x 500 mm  x 600 mm ) </t>
  </si>
  <si>
    <t>Belki nadprożowe</t>
  </si>
  <si>
    <t>420 mm**</t>
  </si>
  <si>
    <t>480 mm**</t>
  </si>
  <si>
    <t>60 mm *</t>
  </si>
  <si>
    <r>
      <t>m</t>
    </r>
    <r>
      <rPr>
        <b/>
        <vertAlign val="superscript"/>
        <sz val="9"/>
        <color rgb="FF006643"/>
        <rFont val="Arial"/>
        <family val="2"/>
        <charset val="238"/>
      </rPr>
      <t>3</t>
    </r>
    <r>
      <rPr>
        <b/>
        <sz val="9"/>
        <color rgb="FF006643"/>
        <rFont val="Arial"/>
        <family val="2"/>
        <charset val="238"/>
      </rPr>
      <t xml:space="preserve"> / pal.</t>
    </r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</si>
  <si>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/ pal</t>
    </r>
  </si>
  <si>
    <r>
      <t>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/ pal</t>
    </r>
  </si>
  <si>
    <t>400 mm</t>
  </si>
  <si>
    <t>dług.</t>
  </si>
  <si>
    <t>szer.</t>
  </si>
  <si>
    <t>wys.</t>
  </si>
  <si>
    <t>szt. / pal.</t>
  </si>
  <si>
    <r>
      <t>szt. / m</t>
    </r>
    <r>
      <rPr>
        <b/>
        <vertAlign val="superscript"/>
        <sz val="9"/>
        <color rgb="FF006643"/>
        <rFont val="Arial"/>
        <family val="2"/>
        <charset val="238"/>
      </rPr>
      <t>3</t>
    </r>
  </si>
  <si>
    <t>szt. / pal</t>
  </si>
  <si>
    <r>
      <t>szt. / m</t>
    </r>
    <r>
      <rPr>
        <vertAlign val="superscript"/>
        <sz val="9"/>
        <rFont val="Arial"/>
        <family val="2"/>
        <charset val="238"/>
      </rPr>
      <t>2</t>
    </r>
  </si>
  <si>
    <r>
      <t>szt. / m</t>
    </r>
    <r>
      <rPr>
        <vertAlign val="superscript"/>
        <sz val="9"/>
        <rFont val="Arial"/>
        <family val="2"/>
        <charset val="238"/>
      </rPr>
      <t>3</t>
    </r>
  </si>
  <si>
    <t>100 mm**</t>
  </si>
  <si>
    <t>961*</t>
  </si>
  <si>
    <t>Reda</t>
  </si>
  <si>
    <t>Przeliczniki 
(Żelisławice)</t>
  </si>
  <si>
    <t>Przeliczniki 
(Reda)</t>
  </si>
  <si>
    <t>Żelisławice</t>
  </si>
  <si>
    <t>* dodatkowo na palecie płytek o szerokości 50 mm, znajduje się 12 sztuk płatnych płytek o szerokości 100 mm - 0,1875 m3</t>
  </si>
  <si>
    <t xml:space="preserve">Waga palety w kg  (z pal. 20 kg) </t>
  </si>
  <si>
    <t>1155*</t>
  </si>
  <si>
    <t xml:space="preserve">Przeliczniki i wagi palet ( w kilogramach + 20 kg paleta ) dla Betonu Komórkowego H+H </t>
  </si>
  <si>
    <t>50 mm*</t>
  </si>
  <si>
    <t>176*</t>
  </si>
  <si>
    <t>** w zakładzie Puławy na palecie znajduje się 120 szt. płytek o szerokości 100 mm (1,6992 m3)</t>
  </si>
  <si>
    <t>180 mm***</t>
  </si>
  <si>
    <t>200 mm***</t>
  </si>
  <si>
    <t>240 mm***</t>
  </si>
  <si>
    <t>Przeliczniki 
(Warszawa, Puławy, Lidzbark)</t>
  </si>
  <si>
    <t>Belki nadprożowe niezbrojone Tempo MN</t>
  </si>
  <si>
    <t>60 mm</t>
  </si>
  <si>
    <t>50 mm</t>
  </si>
  <si>
    <t xml:space="preserve">Wymiary bloczków szer/wys/dług  (50, 100 x 200 mm  x 600 mm ) </t>
  </si>
  <si>
    <t>Wszystkie zakłady</t>
  </si>
  <si>
    <t>3,0-600</t>
  </si>
  <si>
    <t>2,0-350</t>
  </si>
  <si>
    <t>2,5-400</t>
  </si>
  <si>
    <t>4,0-500</t>
  </si>
  <si>
    <t>5,0-600</t>
  </si>
  <si>
    <t>6,0-700</t>
  </si>
  <si>
    <t>Gold +</t>
  </si>
  <si>
    <t>Panel ścienny Gold +</t>
  </si>
  <si>
    <t>Silver / Gold</t>
  </si>
  <si>
    <t>2,5-500</t>
  </si>
  <si>
    <t>4,0-700</t>
  </si>
  <si>
    <t>5,0-800</t>
  </si>
  <si>
    <t>2,0-400</t>
  </si>
  <si>
    <t>3,0-500</t>
  </si>
  <si>
    <t>Bronze</t>
  </si>
  <si>
    <t>szt. / pakiet</t>
  </si>
  <si>
    <t>pakiet / pal.</t>
  </si>
  <si>
    <t xml:space="preserve">** bloczki w szerokościach  420 mm 2,5-400 i 480 mm 2,0-350 mają długość 500 mm </t>
  </si>
  <si>
    <t>Pakiet Easy Płytka Gold</t>
  </si>
  <si>
    <t>* dodatkowo na palecie płytek o szerokości 60 mm znajduje się 8 sztuk płatnych bloczków o szerokości 120 mm - 0,1360 m3 (Warszawa, Puławy, Lidzbark)</t>
  </si>
  <si>
    <t>Palet na auto</t>
  </si>
  <si>
    <t>175 mm***</t>
  </si>
  <si>
    <t>300 mm***</t>
  </si>
  <si>
    <t xml:space="preserve">*** bloczki 6,0-700 mają długość 500 mm </t>
  </si>
  <si>
    <t>*** bloczki 5,0-800 (dBlok) mają długość 500 mm</t>
  </si>
  <si>
    <t>1,5-300</t>
  </si>
  <si>
    <t xml:space="preserve">Wymiary bloczków szer/wys/dług  (75, 100 mm x 500 mm  x 500 mm ) </t>
  </si>
  <si>
    <t>Panel ścienny TEMPO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</si>
</sst>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0.0000"/>
    <numFmt numFmtId="165" formatCode="#,##0.00\ &quot;zł&quot;"/>
    <numFmt numFmtId="166" formatCode="#,##0\ &quot;zł&quot;"/>
    <numFmt numFmtId="167" formatCode="0.000"/>
  </numFmts>
  <fonts count="8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color indexed="17"/>
      <name val="Arial"/>
      <family val="2"/>
      <charset val="238"/>
    </font>
    <font>
      <i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6"/>
      <color indexed="17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name val="Symbol"/>
      <family val="1"/>
      <charset val="2"/>
    </font>
    <font>
      <b/>
      <sz val="11"/>
      <color indexed="21"/>
      <name val="Arial"/>
      <family val="2"/>
      <charset val="238"/>
    </font>
    <font>
      <sz val="11"/>
      <color indexed="21"/>
      <name val="Arial"/>
      <family val="2"/>
      <charset val="238"/>
    </font>
    <font>
      <b/>
      <sz val="8"/>
      <color indexed="21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Verdana"/>
      <family val="2"/>
      <charset val="238"/>
    </font>
    <font>
      <sz val="10"/>
      <color indexed="17"/>
      <name val="Arial"/>
      <family val="2"/>
      <charset val="238"/>
    </font>
    <font>
      <sz val="8"/>
      <color indexed="21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10"/>
      <color indexed="21"/>
      <name val="Arial"/>
      <family val="2"/>
      <charset val="238"/>
    </font>
    <font>
      <sz val="10"/>
      <color indexed="17"/>
      <name val="Arial"/>
      <family val="2"/>
      <charset val="238"/>
    </font>
    <font>
      <b/>
      <sz val="26"/>
      <color indexed="17"/>
      <name val="Arial"/>
      <family val="2"/>
      <charset val="238"/>
    </font>
    <font>
      <sz val="6"/>
      <color rgb="FF006643"/>
      <name val="Arial"/>
      <family val="2"/>
      <charset val="238"/>
    </font>
    <font>
      <sz val="8"/>
      <color rgb="FF006643"/>
      <name val="Arial"/>
      <family val="2"/>
      <charset val="238"/>
    </font>
    <font>
      <sz val="8"/>
      <color rgb="FF006642"/>
      <name val="Arial"/>
      <family val="2"/>
      <charset val="238"/>
    </font>
    <font>
      <b/>
      <sz val="8"/>
      <color rgb="FF006643"/>
      <name val="Arial"/>
      <family val="2"/>
      <charset val="238"/>
    </font>
    <font>
      <sz val="10"/>
      <color rgb="FF006643"/>
      <name val="Arial"/>
      <family val="2"/>
      <charset val="238"/>
    </font>
    <font>
      <b/>
      <sz val="6"/>
      <color rgb="FF006643"/>
      <name val="Arial"/>
      <family val="2"/>
      <charset val="238"/>
    </font>
    <font>
      <b/>
      <sz val="24"/>
      <color rgb="FF006643"/>
      <name val="Arial"/>
      <family val="2"/>
      <charset val="238"/>
    </font>
    <font>
      <b/>
      <sz val="11"/>
      <color theme="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rgb="FF006543"/>
      <name val="Arial"/>
      <family val="2"/>
      <charset val="238"/>
    </font>
    <font>
      <b/>
      <sz val="10"/>
      <color rgb="FF006643"/>
      <name val="Arial"/>
      <family val="2"/>
      <charset val="238"/>
    </font>
    <font>
      <u/>
      <sz val="10"/>
      <color theme="10"/>
      <name val="Arial"/>
      <family val="2"/>
      <charset val="238"/>
    </font>
    <font>
      <vertAlign val="superscript"/>
      <sz val="10"/>
      <color rgb="FF006643"/>
      <name val="Arial"/>
      <family val="2"/>
      <charset val="238"/>
    </font>
    <font>
      <b/>
      <vertAlign val="superscript"/>
      <sz val="10"/>
      <color rgb="FF006643"/>
      <name val="Arial"/>
      <family val="2"/>
      <charset val="238"/>
    </font>
    <font>
      <b/>
      <sz val="9"/>
      <color rgb="FF006643"/>
      <name val="Arial"/>
      <family val="2"/>
      <charset val="238"/>
    </font>
    <font>
      <b/>
      <u/>
      <sz val="9"/>
      <name val="Arial"/>
      <family val="2"/>
      <charset val="238"/>
    </font>
    <font>
      <sz val="9"/>
      <color rgb="FF006643"/>
      <name val="Arial"/>
      <family val="2"/>
      <charset val="238"/>
    </font>
    <font>
      <sz val="9"/>
      <color rgb="FFFF0000"/>
      <name val="Arial"/>
      <family val="2"/>
      <charset val="238"/>
    </font>
    <font>
      <b/>
      <vertAlign val="superscript"/>
      <sz val="9"/>
      <color rgb="FF006643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66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/>
      <bottom style="hair">
        <color theme="0" tint="-0.14996795556505021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6795556505021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6795556505021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3743705557422"/>
      </right>
      <top style="hair">
        <color theme="0" tint="-0.14996795556505021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6795556505021"/>
      </right>
      <top style="hair">
        <color theme="0" tint="-0.14996795556505021"/>
      </top>
      <bottom style="hair">
        <color theme="0" tint="-0.14993743705557422"/>
      </bottom>
      <diagonal/>
    </border>
    <border>
      <left style="hair">
        <color theme="0" tint="-0.14993743705557422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6795556505021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3743705557422"/>
      </bottom>
      <diagonal/>
    </border>
  </borders>
  <cellStyleXfs count="4">
    <xf numFmtId="0" fontId="0" fillId="0" borderId="0"/>
    <xf numFmtId="0" fontId="6" fillId="0" borderId="0"/>
    <xf numFmtId="44" fontId="1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</cellStyleXfs>
  <cellXfs count="89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5" fillId="0" borderId="0" xfId="0" applyFont="1"/>
    <xf numFmtId="0" fontId="16" fillId="2" borderId="32" xfId="0" applyFont="1" applyFill="1" applyBorder="1"/>
    <xf numFmtId="0" fontId="16" fillId="2" borderId="33" xfId="0" applyFont="1" applyFill="1" applyBorder="1"/>
    <xf numFmtId="2" fontId="14" fillId="0" borderId="3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6" fillId="2" borderId="36" xfId="0" applyFont="1" applyFill="1" applyBorder="1"/>
    <xf numFmtId="0" fontId="16" fillId="2" borderId="37" xfId="0" applyFont="1" applyFill="1" applyBorder="1"/>
    <xf numFmtId="0" fontId="16" fillId="2" borderId="38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19" fillId="0" borderId="0" xfId="0" applyFont="1"/>
    <xf numFmtId="0" fontId="19" fillId="0" borderId="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2" fillId="2" borderId="37" xfId="0" applyFont="1" applyFill="1" applyBorder="1" applyAlignment="1">
      <alignment horizontal="right"/>
    </xf>
    <xf numFmtId="0" fontId="22" fillId="2" borderId="42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 vertical="center"/>
    </xf>
    <xf numFmtId="2" fontId="14" fillId="0" borderId="49" xfId="0" applyNumberFormat="1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2" fontId="14" fillId="0" borderId="51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14" fillId="0" borderId="52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3" xfId="0" applyFont="1" applyBorder="1"/>
    <xf numFmtId="2" fontId="14" fillId="0" borderId="48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1" xfId="0" applyNumberFormat="1" applyFont="1" applyBorder="1"/>
    <xf numFmtId="0" fontId="23" fillId="2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2" fontId="14" fillId="0" borderId="59" xfId="0" applyNumberFormat="1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2" fontId="14" fillId="0" borderId="61" xfId="0" applyNumberFormat="1" applyFont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2" fontId="14" fillId="0" borderId="60" xfId="0" applyNumberFormat="1" applyFont="1" applyBorder="1" applyAlignment="1">
      <alignment horizontal="center"/>
    </xf>
    <xf numFmtId="2" fontId="14" fillId="0" borderId="63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14" fillId="0" borderId="64" xfId="0" applyNumberFormat="1" applyFont="1" applyBorder="1" applyAlignment="1">
      <alignment horizontal="center"/>
    </xf>
    <xf numFmtId="2" fontId="15" fillId="0" borderId="65" xfId="0" applyNumberFormat="1" applyFont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2" fontId="14" fillId="0" borderId="67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" borderId="69" xfId="0" applyFont="1" applyFill="1" applyBorder="1"/>
    <xf numFmtId="0" fontId="15" fillId="0" borderId="19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2" fontId="15" fillId="0" borderId="51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5" fillId="0" borderId="70" xfId="0" applyNumberFormat="1" applyFont="1" applyBorder="1" applyAlignment="1">
      <alignment horizontal="center"/>
    </xf>
    <xf numFmtId="0" fontId="15" fillId="0" borderId="71" xfId="0" applyFont="1" applyBorder="1"/>
    <xf numFmtId="0" fontId="14" fillId="0" borderId="71" xfId="0" applyFont="1" applyBorder="1"/>
    <xf numFmtId="2" fontId="14" fillId="0" borderId="53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2" fontId="15" fillId="0" borderId="52" xfId="0" applyNumberFormat="1" applyFont="1" applyBorder="1" applyAlignment="1">
      <alignment horizontal="center"/>
    </xf>
    <xf numFmtId="2" fontId="14" fillId="0" borderId="72" xfId="0" applyNumberFormat="1" applyFont="1" applyBorder="1" applyAlignment="1">
      <alignment horizontal="center"/>
    </xf>
    <xf numFmtId="2" fontId="15" fillId="0" borderId="73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4" fillId="0" borderId="74" xfId="0" applyNumberFormat="1" applyFont="1" applyBorder="1" applyAlignment="1">
      <alignment horizontal="center"/>
    </xf>
    <xf numFmtId="2" fontId="15" fillId="0" borderId="75" xfId="0" applyNumberFormat="1" applyFont="1" applyBorder="1" applyAlignment="1">
      <alignment horizontal="center"/>
    </xf>
    <xf numFmtId="2" fontId="14" fillId="0" borderId="75" xfId="0" applyNumberFormat="1" applyFont="1" applyBorder="1" applyAlignment="1">
      <alignment horizontal="center"/>
    </xf>
    <xf numFmtId="2" fontId="14" fillId="0" borderId="76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15" fillId="0" borderId="76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4" fillId="0" borderId="0" xfId="0" applyFont="1" applyAlignment="1">
      <alignment vertical="center"/>
    </xf>
    <xf numFmtId="0" fontId="17" fillId="0" borderId="19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4" fillId="0" borderId="68" xfId="0" applyFont="1" applyBorder="1" applyAlignment="1">
      <alignment horizontal="center"/>
    </xf>
    <xf numFmtId="0" fontId="26" fillId="0" borderId="0" xfId="0" applyFont="1"/>
    <xf numFmtId="0" fontId="14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0" xfId="0" applyFont="1" applyBorder="1" applyAlignment="1">
      <alignment horizontal="center"/>
    </xf>
    <xf numFmtId="0" fontId="20" fillId="0" borderId="57" xfId="0" applyFont="1" applyBorder="1"/>
    <xf numFmtId="0" fontId="14" fillId="0" borderId="81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29" fillId="2" borderId="8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78" xfId="0" applyFont="1" applyFill="1" applyBorder="1" applyAlignment="1">
      <alignment horizontal="center" vertical="center"/>
    </xf>
    <xf numFmtId="0" fontId="29" fillId="2" borderId="83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20" fillId="0" borderId="85" xfId="0" applyFont="1" applyBorder="1"/>
    <xf numFmtId="0" fontId="19" fillId="0" borderId="2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4" fillId="0" borderId="87" xfId="0" applyFont="1" applyBorder="1" applyAlignment="1">
      <alignment horizontal="center"/>
    </xf>
    <xf numFmtId="0" fontId="10" fillId="2" borderId="88" xfId="0" applyFont="1" applyFill="1" applyBorder="1" applyAlignment="1">
      <alignment horizontal="center"/>
    </xf>
    <xf numFmtId="0" fontId="10" fillId="2" borderId="89" xfId="0" applyFont="1" applyFill="1" applyBorder="1" applyAlignment="1">
      <alignment horizontal="center"/>
    </xf>
    <xf numFmtId="0" fontId="31" fillId="2" borderId="82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69" xfId="0" applyFont="1" applyFill="1" applyBorder="1" applyAlignment="1">
      <alignment horizontal="center" vertical="center"/>
    </xf>
    <xf numFmtId="0" fontId="10" fillId="2" borderId="9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6" fillId="2" borderId="1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/>
    <xf numFmtId="0" fontId="20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0" fontId="22" fillId="2" borderId="0" xfId="0" applyFont="1" applyFill="1" applyAlignment="1">
      <alignment horizontal="right"/>
    </xf>
    <xf numFmtId="0" fontId="22" fillId="2" borderId="96" xfId="0" applyFont="1" applyFill="1" applyBorder="1" applyAlignment="1">
      <alignment horizontal="center" vertical="center"/>
    </xf>
    <xf numFmtId="0" fontId="22" fillId="2" borderId="97" xfId="0" applyFont="1" applyFill="1" applyBorder="1" applyAlignment="1">
      <alignment horizontal="center" vertical="center"/>
    </xf>
    <xf numFmtId="0" fontId="23" fillId="2" borderId="98" xfId="0" applyFont="1" applyFill="1" applyBorder="1" applyAlignment="1">
      <alignment horizontal="center" vertical="center"/>
    </xf>
    <xf numFmtId="0" fontId="14" fillId="0" borderId="99" xfId="0" applyFont="1" applyBorder="1" applyAlignment="1">
      <alignment vertical="center" wrapText="1"/>
    </xf>
    <xf numFmtId="2" fontId="1" fillId="0" borderId="44" xfId="0" applyNumberFormat="1" applyFont="1" applyBorder="1" applyAlignment="1">
      <alignment horizontal="center"/>
    </xf>
    <xf numFmtId="2" fontId="1" fillId="0" borderId="10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1" fontId="44" fillId="0" borderId="2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44" fillId="0" borderId="70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2" fontId="14" fillId="0" borderId="101" xfId="0" applyNumberFormat="1" applyFont="1" applyBorder="1" applyAlignment="1">
      <alignment horizontal="center"/>
    </xf>
    <xf numFmtId="2" fontId="19" fillId="0" borderId="52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2" fontId="14" fillId="0" borderId="0" xfId="0" applyNumberFormat="1" applyFont="1"/>
    <xf numFmtId="2" fontId="3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2" fontId="45" fillId="0" borderId="28" xfId="0" applyNumberFormat="1" applyFont="1" applyBorder="1" applyAlignment="1">
      <alignment horizontal="center"/>
    </xf>
    <xf numFmtId="2" fontId="45" fillId="0" borderId="29" xfId="0" applyNumberFormat="1" applyFont="1" applyBorder="1" applyAlignment="1">
      <alignment horizontal="center"/>
    </xf>
    <xf numFmtId="2" fontId="45" fillId="0" borderId="102" xfId="0" applyNumberFormat="1" applyFont="1" applyBorder="1" applyAlignment="1">
      <alignment horizontal="center"/>
    </xf>
    <xf numFmtId="2" fontId="44" fillId="0" borderId="30" xfId="0" applyNumberFormat="1" applyFont="1" applyBorder="1" applyAlignment="1">
      <alignment horizontal="center"/>
    </xf>
    <xf numFmtId="2" fontId="44" fillId="0" borderId="29" xfId="0" applyNumberFormat="1" applyFont="1" applyBorder="1" applyAlignment="1">
      <alignment horizontal="center"/>
    </xf>
    <xf numFmtId="2" fontId="44" fillId="0" borderId="19" xfId="0" applyNumberFormat="1" applyFont="1" applyBorder="1" applyAlignment="1">
      <alignment horizontal="center"/>
    </xf>
    <xf numFmtId="2" fontId="0" fillId="0" borderId="0" xfId="0" applyNumberFormat="1"/>
    <xf numFmtId="2" fontId="31" fillId="2" borderId="33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2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6" fillId="2" borderId="32" xfId="0" applyNumberFormat="1" applyFont="1" applyFill="1" applyBorder="1"/>
    <xf numFmtId="2" fontId="44" fillId="0" borderId="15" xfId="0" applyNumberFormat="1" applyFont="1" applyBorder="1" applyAlignment="1">
      <alignment horizontal="center"/>
    </xf>
    <xf numFmtId="2" fontId="44" fillId="0" borderId="2" xfId="0" applyNumberFormat="1" applyFont="1" applyBorder="1" applyAlignment="1">
      <alignment horizontal="center"/>
    </xf>
    <xf numFmtId="2" fontId="44" fillId="0" borderId="6" xfId="0" applyNumberFormat="1" applyFont="1" applyBorder="1" applyAlignment="1">
      <alignment horizontal="center"/>
    </xf>
    <xf numFmtId="2" fontId="44" fillId="0" borderId="49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2" fontId="19" fillId="0" borderId="0" xfId="0" applyNumberFormat="1" applyFont="1"/>
    <xf numFmtId="2" fontId="1" fillId="0" borderId="29" xfId="0" applyNumberFormat="1" applyFont="1" applyBorder="1" applyAlignment="1">
      <alignment horizontal="center"/>
    </xf>
    <xf numFmtId="2" fontId="26" fillId="0" borderId="0" xfId="0" applyNumberFormat="1" applyFont="1"/>
    <xf numFmtId="1" fontId="0" fillId="0" borderId="0" xfId="0" applyNumberFormat="1"/>
    <xf numFmtId="0" fontId="51" fillId="0" borderId="0" xfId="0" applyFont="1"/>
    <xf numFmtId="0" fontId="14" fillId="0" borderId="0" xfId="0" applyFont="1" applyAlignment="1" applyProtection="1">
      <alignment horizontal="left" vertical="justify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1" fillId="0" borderId="0" xfId="0" applyFont="1" applyAlignment="1">
      <alignment wrapText="1"/>
    </xf>
    <xf numFmtId="0" fontId="11" fillId="0" borderId="0" xfId="0" applyFont="1" applyAlignment="1" applyProtection="1">
      <alignment vertical="center"/>
      <protection locked="0"/>
    </xf>
    <xf numFmtId="0" fontId="11" fillId="3" borderId="103" xfId="0" applyFont="1" applyFill="1" applyBorder="1" applyAlignment="1" applyProtection="1">
      <alignment horizontal="center" vertical="center"/>
      <protection locked="0"/>
    </xf>
    <xf numFmtId="0" fontId="51" fillId="0" borderId="104" xfId="0" applyFont="1" applyBorder="1" applyAlignment="1" applyProtection="1">
      <alignment horizontal="center" vertical="center"/>
      <protection locked="0"/>
    </xf>
    <xf numFmtId="164" fontId="51" fillId="0" borderId="91" xfId="0" applyNumberFormat="1" applyFont="1" applyBorder="1" applyAlignment="1" applyProtection="1">
      <alignment horizontal="center" vertical="center"/>
      <protection locked="0"/>
    </xf>
    <xf numFmtId="2" fontId="51" fillId="0" borderId="91" xfId="0" applyNumberFormat="1" applyFont="1" applyBorder="1" applyAlignment="1">
      <alignment horizontal="center" vertical="center"/>
    </xf>
    <xf numFmtId="1" fontId="51" fillId="0" borderId="103" xfId="0" applyNumberFormat="1" applyFont="1" applyBorder="1" applyAlignment="1">
      <alignment horizontal="center" vertical="center"/>
    </xf>
    <xf numFmtId="0" fontId="51" fillId="0" borderId="105" xfId="0" applyFont="1" applyBorder="1" applyAlignment="1">
      <alignment horizontal="center" vertical="center"/>
    </xf>
    <xf numFmtId="0" fontId="11" fillId="3" borderId="106" xfId="0" applyFont="1" applyFill="1" applyBorder="1" applyAlignment="1" applyProtection="1">
      <alignment horizontal="center" vertical="center"/>
      <protection locked="0"/>
    </xf>
    <xf numFmtId="0" fontId="51" fillId="0" borderId="70" xfId="0" applyFont="1" applyBorder="1" applyAlignment="1" applyProtection="1">
      <alignment horizontal="center" vertical="center"/>
      <protection locked="0"/>
    </xf>
    <xf numFmtId="164" fontId="51" fillId="0" borderId="92" xfId="0" applyNumberFormat="1" applyFont="1" applyBorder="1" applyAlignment="1" applyProtection="1">
      <alignment horizontal="center" vertical="center"/>
      <protection locked="0"/>
    </xf>
    <xf numFmtId="2" fontId="51" fillId="0" borderId="92" xfId="0" applyNumberFormat="1" applyFont="1" applyBorder="1" applyAlignment="1">
      <alignment horizontal="center" vertical="center"/>
    </xf>
    <xf numFmtId="1" fontId="51" fillId="0" borderId="106" xfId="0" applyNumberFormat="1" applyFont="1" applyBorder="1" applyAlignment="1">
      <alignment horizontal="center" vertical="center"/>
    </xf>
    <xf numFmtId="0" fontId="51" fillId="0" borderId="92" xfId="0" applyFont="1" applyBorder="1" applyAlignment="1">
      <alignment horizontal="center" vertical="center"/>
    </xf>
    <xf numFmtId="0" fontId="51" fillId="0" borderId="106" xfId="0" applyFont="1" applyBorder="1" applyAlignment="1" applyProtection="1">
      <alignment horizontal="center" vertical="center"/>
      <protection locked="0"/>
    </xf>
    <xf numFmtId="0" fontId="51" fillId="0" borderId="107" xfId="0" applyFont="1" applyBorder="1" applyAlignment="1" applyProtection="1">
      <alignment horizontal="center" vertical="center"/>
      <protection locked="0"/>
    </xf>
    <xf numFmtId="164" fontId="51" fillId="0" borderId="105" xfId="0" applyNumberFormat="1" applyFont="1" applyBorder="1" applyAlignment="1" applyProtection="1">
      <alignment horizontal="center" vertical="center"/>
      <protection locked="0"/>
    </xf>
    <xf numFmtId="2" fontId="51" fillId="0" borderId="105" xfId="0" applyNumberFormat="1" applyFont="1" applyBorder="1" applyAlignment="1">
      <alignment horizontal="center" vertical="center"/>
    </xf>
    <xf numFmtId="1" fontId="51" fillId="0" borderId="108" xfId="0" applyNumberFormat="1" applyFont="1" applyBorder="1" applyAlignment="1">
      <alignment horizontal="center" vertical="center"/>
    </xf>
    <xf numFmtId="0" fontId="11" fillId="3" borderId="109" xfId="0" applyFont="1" applyFill="1" applyBorder="1" applyAlignment="1" applyProtection="1">
      <alignment horizontal="center" vertical="center"/>
      <protection locked="0"/>
    </xf>
    <xf numFmtId="0" fontId="51" fillId="0" borderId="110" xfId="0" applyFont="1" applyBorder="1" applyAlignment="1" applyProtection="1">
      <alignment horizontal="center" vertical="center"/>
      <protection locked="0"/>
    </xf>
    <xf numFmtId="164" fontId="51" fillId="0" borderId="93" xfId="0" applyNumberFormat="1" applyFont="1" applyBorder="1" applyAlignment="1" applyProtection="1">
      <alignment horizontal="center" vertical="center"/>
      <protection locked="0"/>
    </xf>
    <xf numFmtId="2" fontId="51" fillId="0" borderId="93" xfId="0" applyNumberFormat="1" applyFont="1" applyBorder="1" applyAlignment="1">
      <alignment horizontal="center" vertical="center"/>
    </xf>
    <xf numFmtId="1" fontId="51" fillId="0" borderId="109" xfId="0" applyNumberFormat="1" applyFont="1" applyBorder="1" applyAlignment="1">
      <alignment horizontal="center" vertical="center"/>
    </xf>
    <xf numFmtId="0" fontId="51" fillId="0" borderId="93" xfId="0" applyFont="1" applyBorder="1" applyAlignment="1">
      <alignment horizontal="center" vertical="center"/>
    </xf>
    <xf numFmtId="2" fontId="15" fillId="0" borderId="111" xfId="0" applyNumberFormat="1" applyFont="1" applyBorder="1" applyAlignment="1">
      <alignment horizontal="center" vertical="center"/>
    </xf>
    <xf numFmtId="0" fontId="23" fillId="2" borderId="112" xfId="0" applyFont="1" applyFill="1" applyBorder="1" applyAlignment="1">
      <alignment horizontal="center" vertical="center"/>
    </xf>
    <xf numFmtId="2" fontId="16" fillId="2" borderId="4" xfId="0" applyNumberFormat="1" applyFont="1" applyFill="1" applyBorder="1" applyAlignment="1">
      <alignment horizontal="center"/>
    </xf>
    <xf numFmtId="2" fontId="1" fillId="0" borderId="72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74" xfId="0" applyNumberFormat="1" applyFont="1" applyBorder="1" applyAlignment="1">
      <alignment horizontal="center"/>
    </xf>
    <xf numFmtId="0" fontId="49" fillId="0" borderId="92" xfId="0" applyFont="1" applyBorder="1" applyAlignment="1">
      <alignment horizontal="center"/>
    </xf>
    <xf numFmtId="2" fontId="3" fillId="0" borderId="73" xfId="0" applyNumberFormat="1" applyFont="1" applyBorder="1" applyAlignment="1">
      <alignment horizontal="center"/>
    </xf>
    <xf numFmtId="0" fontId="15" fillId="0" borderId="113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2" fontId="14" fillId="0" borderId="113" xfId="0" applyNumberFormat="1" applyFont="1" applyBorder="1" applyAlignment="1">
      <alignment horizontal="center"/>
    </xf>
    <xf numFmtId="2" fontId="19" fillId="0" borderId="115" xfId="0" applyNumberFormat="1" applyFont="1" applyBorder="1" applyAlignment="1">
      <alignment horizontal="center"/>
    </xf>
    <xf numFmtId="2" fontId="14" fillId="0" borderId="115" xfId="0" applyNumberFormat="1" applyFont="1" applyBorder="1" applyAlignment="1">
      <alignment horizontal="center"/>
    </xf>
    <xf numFmtId="2" fontId="19" fillId="0" borderId="114" xfId="0" applyNumberFormat="1" applyFont="1" applyBorder="1" applyAlignment="1">
      <alignment horizontal="center"/>
    </xf>
    <xf numFmtId="2" fontId="14" fillId="0" borderId="116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2" borderId="117" xfId="0" applyFont="1" applyFill="1" applyBorder="1"/>
    <xf numFmtId="0" fontId="2" fillId="0" borderId="118" xfId="0" applyFont="1" applyBorder="1" applyAlignment="1">
      <alignment horizontal="center"/>
    </xf>
    <xf numFmtId="0" fontId="16" fillId="2" borderId="119" xfId="0" applyFont="1" applyFill="1" applyBorder="1" applyAlignment="1">
      <alignment horizontal="center"/>
    </xf>
    <xf numFmtId="0" fontId="20" fillId="0" borderId="120" xfId="0" applyFont="1" applyBorder="1" applyAlignment="1">
      <alignment horizontal="center"/>
    </xf>
    <xf numFmtId="0" fontId="15" fillId="0" borderId="121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2" fontId="14" fillId="0" borderId="123" xfId="0" applyNumberFormat="1" applyFont="1" applyBorder="1" applyAlignment="1">
      <alignment horizontal="center"/>
    </xf>
    <xf numFmtId="2" fontId="44" fillId="0" borderId="115" xfId="0" applyNumberFormat="1" applyFont="1" applyBorder="1" applyAlignment="1">
      <alignment horizontal="center"/>
    </xf>
    <xf numFmtId="2" fontId="44" fillId="0" borderId="114" xfId="0" applyNumberFormat="1" applyFont="1" applyBorder="1" applyAlignment="1">
      <alignment horizontal="center"/>
    </xf>
    <xf numFmtId="2" fontId="6" fillId="0" borderId="113" xfId="0" applyNumberFormat="1" applyFont="1" applyBorder="1" applyAlignment="1">
      <alignment horizontal="center"/>
    </xf>
    <xf numFmtId="2" fontId="6" fillId="0" borderId="115" xfId="0" applyNumberFormat="1" applyFont="1" applyBorder="1" applyAlignment="1">
      <alignment horizontal="center"/>
    </xf>
    <xf numFmtId="2" fontId="44" fillId="0" borderId="124" xfId="0" applyNumberFormat="1" applyFont="1" applyBorder="1" applyAlignment="1">
      <alignment horizontal="center"/>
    </xf>
    <xf numFmtId="1" fontId="44" fillId="0" borderId="1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69" fillId="0" borderId="0" xfId="0" applyFont="1"/>
    <xf numFmtId="0" fontId="2" fillId="0" borderId="0" xfId="0" applyFont="1" applyAlignment="1">
      <alignment horizontal="center" vertical="center"/>
    </xf>
    <xf numFmtId="0" fontId="70" fillId="0" borderId="0" xfId="0" applyFont="1"/>
    <xf numFmtId="0" fontId="7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165" fontId="59" fillId="0" borderId="0" xfId="0" applyNumberFormat="1" applyFont="1" applyAlignment="1">
      <alignment horizontal="center" vertical="center"/>
    </xf>
    <xf numFmtId="0" fontId="65" fillId="0" borderId="0" xfId="0" applyFont="1"/>
    <xf numFmtId="0" fontId="68" fillId="0" borderId="0" xfId="0" applyFont="1"/>
    <xf numFmtId="0" fontId="24" fillId="0" borderId="0" xfId="0" applyFont="1"/>
    <xf numFmtId="0" fontId="2" fillId="0" borderId="168" xfId="0" applyFont="1" applyBorder="1" applyAlignment="1">
      <alignment horizontal="center"/>
    </xf>
    <xf numFmtId="0" fontId="2" fillId="0" borderId="168" xfId="0" applyFont="1" applyBorder="1" applyAlignment="1">
      <alignment horizontal="center" vertical="center" wrapText="1"/>
    </xf>
    <xf numFmtId="0" fontId="60" fillId="0" borderId="0" xfId="0" applyFont="1"/>
    <xf numFmtId="0" fontId="67" fillId="0" borderId="0" xfId="0" applyFont="1" applyAlignment="1">
      <alignment vertical="top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1" fillId="0" borderId="0" xfId="0" applyFont="1"/>
    <xf numFmtId="0" fontId="61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68" fillId="0" borderId="0" xfId="0" applyFont="1" applyAlignment="1">
      <alignment vertical="top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left"/>
    </xf>
    <xf numFmtId="0" fontId="76" fillId="0" borderId="0" xfId="0" applyFont="1" applyAlignment="1">
      <alignment vertical="top"/>
    </xf>
    <xf numFmtId="0" fontId="76" fillId="0" borderId="0" xfId="0" applyFont="1"/>
    <xf numFmtId="0" fontId="71" fillId="0" borderId="0" xfId="0" applyFont="1"/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textRotation="15"/>
    </xf>
    <xf numFmtId="0" fontId="70" fillId="0" borderId="172" xfId="0" applyFont="1" applyBorder="1" applyAlignment="1">
      <alignment horizontal="center" vertical="center"/>
    </xf>
    <xf numFmtId="0" fontId="72" fillId="0" borderId="172" xfId="0" applyFont="1" applyBorder="1" applyAlignment="1">
      <alignment horizontal="center" vertical="center"/>
    </xf>
    <xf numFmtId="1" fontId="68" fillId="6" borderId="172" xfId="0" applyNumberFormat="1" applyFont="1" applyFill="1" applyBorder="1" applyAlignment="1">
      <alignment horizontal="center"/>
    </xf>
    <xf numFmtId="1" fontId="68" fillId="0" borderId="172" xfId="0" applyNumberFormat="1" applyFont="1" applyBorder="1" applyAlignment="1">
      <alignment horizontal="center"/>
    </xf>
    <xf numFmtId="1" fontId="67" fillId="0" borderId="172" xfId="0" applyNumberFormat="1" applyFont="1" applyBorder="1" applyAlignment="1">
      <alignment horizontal="center"/>
    </xf>
    <xf numFmtId="0" fontId="68" fillId="6" borderId="172" xfId="0" applyFont="1" applyFill="1" applyBorder="1" applyAlignment="1">
      <alignment horizontal="center"/>
    </xf>
    <xf numFmtId="0" fontId="68" fillId="6" borderId="172" xfId="0" applyFont="1" applyFill="1" applyBorder="1" applyAlignment="1">
      <alignment horizontal="center" vertical="center"/>
    </xf>
    <xf numFmtId="165" fontId="2" fillId="7" borderId="172" xfId="0" applyNumberFormat="1" applyFont="1" applyFill="1" applyBorder="1" applyAlignment="1">
      <alignment horizontal="center" vertical="center"/>
    </xf>
    <xf numFmtId="0" fontId="70" fillId="7" borderId="172" xfId="0" applyFont="1" applyFill="1" applyBorder="1" applyAlignment="1">
      <alignment horizontal="center" vertical="center"/>
    </xf>
    <xf numFmtId="0" fontId="67" fillId="0" borderId="172" xfId="0" applyFont="1" applyBorder="1" applyAlignment="1">
      <alignment horizontal="center" vertical="center"/>
    </xf>
    <xf numFmtId="1" fontId="70" fillId="7" borderId="172" xfId="0" applyNumberFormat="1" applyFont="1" applyFill="1" applyBorder="1" applyAlignment="1">
      <alignment horizontal="center" vertical="center"/>
    </xf>
    <xf numFmtId="1" fontId="67" fillId="0" borderId="172" xfId="0" applyNumberFormat="1" applyFont="1" applyBorder="1" applyAlignment="1">
      <alignment horizontal="center" vertical="center"/>
    </xf>
    <xf numFmtId="0" fontId="68" fillId="7" borderId="172" xfId="0" applyFont="1" applyFill="1" applyBorder="1" applyAlignment="1">
      <alignment horizontal="center"/>
    </xf>
    <xf numFmtId="166" fontId="2" fillId="7" borderId="172" xfId="0" applyNumberFormat="1" applyFont="1" applyFill="1" applyBorder="1" applyAlignment="1">
      <alignment horizontal="center" vertical="center"/>
    </xf>
    <xf numFmtId="0" fontId="67" fillId="7" borderId="172" xfId="0" applyFont="1" applyFill="1" applyBorder="1" applyAlignment="1">
      <alignment horizontal="center" vertical="center"/>
    </xf>
    <xf numFmtId="0" fontId="78" fillId="0" borderId="0" xfId="3" applyFill="1" applyBorder="1" applyAlignment="1" applyProtection="1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" fillId="0" borderId="168" xfId="0" applyFont="1" applyBorder="1" applyAlignment="1">
      <alignment horizontal="center"/>
    </xf>
    <xf numFmtId="2" fontId="1" fillId="0" borderId="168" xfId="0" applyNumberFormat="1" applyFont="1" applyBorder="1" applyAlignment="1">
      <alignment horizontal="center"/>
    </xf>
    <xf numFmtId="164" fontId="1" fillId="0" borderId="168" xfId="0" applyNumberFormat="1" applyFont="1" applyBorder="1" applyAlignment="1">
      <alignment horizontal="center"/>
    </xf>
    <xf numFmtId="0" fontId="1" fillId="0" borderId="0" xfId="1" applyFont="1"/>
    <xf numFmtId="0" fontId="3" fillId="0" borderId="0" xfId="1" applyFont="1"/>
    <xf numFmtId="0" fontId="1" fillId="0" borderId="0" xfId="1" applyFont="1" applyAlignment="1">
      <alignment vertical="center"/>
    </xf>
    <xf numFmtId="0" fontId="71" fillId="0" borderId="0" xfId="1" applyFont="1"/>
    <xf numFmtId="0" fontId="1" fillId="0" borderId="0" xfId="1" applyFont="1" applyAlignment="1">
      <alignment horizontal="center" vertical="center" wrapText="1"/>
    </xf>
    <xf numFmtId="0" fontId="71" fillId="0" borderId="0" xfId="1" quotePrefix="1" applyFont="1" applyAlignment="1">
      <alignment horizontal="center" vertical="center"/>
    </xf>
    <xf numFmtId="0" fontId="71" fillId="5" borderId="168" xfId="0" applyFont="1" applyFill="1" applyBorder="1" applyAlignment="1">
      <alignment horizontal="center" vertical="center"/>
    </xf>
    <xf numFmtId="0" fontId="71" fillId="5" borderId="168" xfId="0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68" xfId="1" applyFont="1" applyBorder="1" applyAlignment="1">
      <alignment horizontal="center"/>
    </xf>
    <xf numFmtId="166" fontId="1" fillId="0" borderId="168" xfId="1" applyNumberFormat="1" applyFont="1" applyBorder="1" applyAlignment="1">
      <alignment horizontal="center"/>
    </xf>
    <xf numFmtId="9" fontId="1" fillId="0" borderId="0" xfId="1" applyNumberFormat="1" applyFont="1" applyAlignment="1">
      <alignment horizontal="center"/>
    </xf>
    <xf numFmtId="0" fontId="1" fillId="0" borderId="168" xfId="0" applyFont="1" applyBorder="1" applyAlignment="1">
      <alignment horizontal="center" vertical="center" wrapText="1"/>
    </xf>
    <xf numFmtId="0" fontId="7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6" fontId="1" fillId="0" borderId="0" xfId="1" applyNumberFormat="1" applyFont="1" applyAlignment="1">
      <alignment horizontal="center"/>
    </xf>
    <xf numFmtId="0" fontId="77" fillId="5" borderId="168" xfId="1" applyFont="1" applyFill="1" applyBorder="1" applyAlignment="1">
      <alignment vertical="center"/>
    </xf>
    <xf numFmtId="0" fontId="71" fillId="5" borderId="168" xfId="0" applyFont="1" applyFill="1" applyBorder="1" applyAlignment="1">
      <alignment vertical="center"/>
    </xf>
    <xf numFmtId="0" fontId="71" fillId="0" borderId="168" xfId="0" applyFont="1" applyBorder="1" applyAlignment="1">
      <alignment horizontal="center" vertical="center"/>
    </xf>
    <xf numFmtId="0" fontId="71" fillId="0" borderId="168" xfId="0" applyFont="1" applyBorder="1" applyAlignment="1">
      <alignment vertical="center"/>
    </xf>
    <xf numFmtId="0" fontId="71" fillId="0" borderId="168" xfId="1" applyFont="1" applyBorder="1" applyAlignment="1">
      <alignment horizontal="center"/>
    </xf>
    <xf numFmtId="2" fontId="1" fillId="0" borderId="168" xfId="1" applyNumberFormat="1" applyFont="1" applyBorder="1" applyAlignment="1">
      <alignment horizontal="center"/>
    </xf>
    <xf numFmtId="4" fontId="1" fillId="0" borderId="168" xfId="1" applyNumberFormat="1" applyFont="1" applyBorder="1" applyAlignment="1">
      <alignment horizontal="center"/>
    </xf>
    <xf numFmtId="0" fontId="77" fillId="5" borderId="168" xfId="0" applyFont="1" applyFill="1" applyBorder="1"/>
    <xf numFmtId="0" fontId="3" fillId="5" borderId="168" xfId="0" applyFont="1" applyFill="1" applyBorder="1"/>
    <xf numFmtId="0" fontId="71" fillId="0" borderId="168" xfId="0" applyFont="1" applyBorder="1" applyAlignment="1">
      <alignment horizontal="center" vertical="center" wrapText="1"/>
    </xf>
    <xf numFmtId="0" fontId="77" fillId="0" borderId="168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wrapText="1"/>
    </xf>
    <xf numFmtId="164" fontId="1" fillId="0" borderId="168" xfId="0" applyNumberFormat="1" applyFont="1" applyBorder="1" applyAlignment="1">
      <alignment horizontal="center" wrapText="1"/>
    </xf>
    <xf numFmtId="2" fontId="1" fillId="0" borderId="168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0" fontId="68" fillId="0" borderId="0" xfId="1" applyFont="1" applyAlignment="1">
      <alignment horizontal="left" vertical="center"/>
    </xf>
    <xf numFmtId="0" fontId="69" fillId="0" borderId="0" xfId="0" applyFont="1" applyAlignment="1">
      <alignment vertical="center"/>
    </xf>
    <xf numFmtId="0" fontId="1" fillId="0" borderId="168" xfId="0" applyFont="1" applyBorder="1" applyAlignment="1">
      <alignment horizontal="center" vertical="center"/>
    </xf>
    <xf numFmtId="1" fontId="20" fillId="0" borderId="168" xfId="0" applyNumberFormat="1" applyFont="1" applyBorder="1" applyAlignment="1">
      <alignment horizontal="center"/>
    </xf>
    <xf numFmtId="0" fontId="20" fillId="0" borderId="168" xfId="0" applyFont="1" applyBorder="1" applyAlignment="1">
      <alignment horizontal="center"/>
    </xf>
    <xf numFmtId="2" fontId="20" fillId="0" borderId="168" xfId="0" applyNumberFormat="1" applyFont="1" applyBorder="1" applyAlignment="1">
      <alignment horizontal="center"/>
    </xf>
    <xf numFmtId="164" fontId="20" fillId="0" borderId="168" xfId="0" applyNumberFormat="1" applyFont="1" applyBorder="1" applyAlignment="1">
      <alignment horizontal="center"/>
    </xf>
    <xf numFmtId="0" fontId="81" fillId="5" borderId="168" xfId="0" applyFont="1" applyFill="1" applyBorder="1" applyAlignment="1">
      <alignment horizontal="center" vertical="center"/>
    </xf>
    <xf numFmtId="0" fontId="83" fillId="0" borderId="0" xfId="0" applyFont="1"/>
    <xf numFmtId="0" fontId="81" fillId="0" borderId="0" xfId="0" applyFont="1" applyAlignment="1">
      <alignment horizontal="left" vertical="center"/>
    </xf>
    <xf numFmtId="0" fontId="20" fillId="0" borderId="179" xfId="0" applyFont="1" applyBorder="1" applyAlignment="1">
      <alignment horizontal="center"/>
    </xf>
    <xf numFmtId="2" fontId="20" fillId="0" borderId="179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64" fontId="21" fillId="0" borderId="179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83" fillId="0" borderId="0" xfId="0" applyFont="1" applyAlignment="1">
      <alignment vertical="top" wrapText="1"/>
    </xf>
    <xf numFmtId="0" fontId="21" fillId="0" borderId="16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84" fillId="0" borderId="0" xfId="0" applyFont="1"/>
    <xf numFmtId="0" fontId="21" fillId="0" borderId="0" xfId="0" applyFont="1"/>
    <xf numFmtId="1" fontId="20" fillId="0" borderId="176" xfId="0" applyNumberFormat="1" applyFont="1" applyBorder="1" applyAlignment="1">
      <alignment horizontal="center"/>
    </xf>
    <xf numFmtId="0" fontId="20" fillId="0" borderId="178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81" fillId="0" borderId="168" xfId="0" applyFont="1" applyBorder="1" applyAlignment="1">
      <alignment horizontal="center" vertical="center" wrapText="1"/>
    </xf>
    <xf numFmtId="0" fontId="20" fillId="0" borderId="168" xfId="0" applyFont="1" applyBorder="1" applyAlignment="1">
      <alignment horizontal="center" wrapText="1"/>
    </xf>
    <xf numFmtId="164" fontId="20" fillId="0" borderId="168" xfId="0" applyNumberFormat="1" applyFont="1" applyBorder="1" applyAlignment="1">
      <alignment horizontal="center" wrapText="1"/>
    </xf>
    <xf numFmtId="2" fontId="20" fillId="0" borderId="168" xfId="0" applyNumberFormat="1" applyFont="1" applyBorder="1" applyAlignment="1">
      <alignment horizontal="center" wrapText="1"/>
    </xf>
    <xf numFmtId="2" fontId="20" fillId="0" borderId="0" xfId="0" applyNumberFormat="1" applyFont="1" applyAlignment="1">
      <alignment wrapText="1"/>
    </xf>
    <xf numFmtId="2" fontId="20" fillId="0" borderId="0" xfId="0" applyNumberFormat="1" applyFont="1"/>
    <xf numFmtId="1" fontId="20" fillId="0" borderId="0" xfId="0" applyNumberFormat="1" applyFont="1" applyAlignment="1">
      <alignment horizontal="center"/>
    </xf>
    <xf numFmtId="0" fontId="20" fillId="0" borderId="176" xfId="0" applyFont="1" applyBorder="1" applyAlignment="1">
      <alignment horizontal="center"/>
    </xf>
    <xf numFmtId="0" fontId="20" fillId="0" borderId="183" xfId="0" applyFont="1" applyBorder="1" applyAlignment="1">
      <alignment horizontal="center"/>
    </xf>
    <xf numFmtId="1" fontId="20" fillId="0" borderId="183" xfId="0" applyNumberFormat="1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81" fillId="10" borderId="168" xfId="0" applyFont="1" applyFill="1" applyBorder="1" applyAlignment="1">
      <alignment horizontal="center"/>
    </xf>
    <xf numFmtId="0" fontId="20" fillId="10" borderId="168" xfId="0" applyFont="1" applyFill="1" applyBorder="1" applyAlignment="1">
      <alignment horizontal="center"/>
    </xf>
    <xf numFmtId="0" fontId="21" fillId="10" borderId="168" xfId="0" applyFont="1" applyFill="1" applyBorder="1" applyAlignment="1">
      <alignment horizontal="center"/>
    </xf>
    <xf numFmtId="2" fontId="20" fillId="10" borderId="168" xfId="0" applyNumberFormat="1" applyFont="1" applyFill="1" applyBorder="1" applyAlignment="1">
      <alignment horizontal="center"/>
    </xf>
    <xf numFmtId="0" fontId="87" fillId="10" borderId="168" xfId="0" applyFont="1" applyFill="1" applyBorder="1" applyAlignment="1">
      <alignment horizontal="center"/>
    </xf>
    <xf numFmtId="167" fontId="21" fillId="10" borderId="168" xfId="0" applyNumberFormat="1" applyFont="1" applyFill="1" applyBorder="1" applyAlignment="1">
      <alignment horizontal="center"/>
    </xf>
    <xf numFmtId="0" fontId="20" fillId="0" borderId="171" xfId="0" applyFont="1" applyBorder="1" applyAlignment="1">
      <alignment horizontal="center" vertical="center"/>
    </xf>
    <xf numFmtId="0" fontId="20" fillId="0" borderId="171" xfId="0" applyFont="1" applyBorder="1"/>
    <xf numFmtId="0" fontId="21" fillId="0" borderId="171" xfId="0" applyFont="1" applyBorder="1" applyAlignment="1">
      <alignment horizontal="center"/>
    </xf>
    <xf numFmtId="167" fontId="21" fillId="0" borderId="171" xfId="0" applyNumberFormat="1" applyFont="1" applyBorder="1" applyAlignment="1">
      <alignment horizontal="center"/>
    </xf>
    <xf numFmtId="1" fontId="20" fillId="10" borderId="168" xfId="0" applyNumberFormat="1" applyFont="1" applyFill="1" applyBorder="1" applyAlignment="1">
      <alignment horizontal="center"/>
    </xf>
    <xf numFmtId="0" fontId="20" fillId="10" borderId="183" xfId="0" applyFont="1" applyFill="1" applyBorder="1" applyAlignment="1">
      <alignment horizontal="center"/>
    </xf>
    <xf numFmtId="1" fontId="20" fillId="10" borderId="183" xfId="0" applyNumberFormat="1" applyFont="1" applyFill="1" applyBorder="1" applyAlignment="1">
      <alignment horizontal="center"/>
    </xf>
    <xf numFmtId="0" fontId="20" fillId="11" borderId="183" xfId="0" applyFont="1" applyFill="1" applyBorder="1" applyAlignment="1">
      <alignment horizontal="center"/>
    </xf>
    <xf numFmtId="1" fontId="20" fillId="11" borderId="183" xfId="0" applyNumberFormat="1" applyFont="1" applyFill="1" applyBorder="1" applyAlignment="1">
      <alignment horizontal="center"/>
    </xf>
    <xf numFmtId="164" fontId="21" fillId="10" borderId="168" xfId="0" applyNumberFormat="1" applyFont="1" applyFill="1" applyBorder="1" applyAlignment="1">
      <alignment horizontal="center"/>
    </xf>
    <xf numFmtId="0" fontId="21" fillId="0" borderId="181" xfId="0" applyFont="1" applyBorder="1"/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vertical="center" wrapText="1"/>
    </xf>
    <xf numFmtId="0" fontId="20" fillId="12" borderId="183" xfId="0" applyFont="1" applyFill="1" applyBorder="1" applyAlignment="1">
      <alignment horizontal="center"/>
    </xf>
    <xf numFmtId="1" fontId="20" fillId="12" borderId="183" xfId="0" applyNumberFormat="1" applyFont="1" applyFill="1" applyBorder="1" applyAlignment="1">
      <alignment horizontal="center"/>
    </xf>
    <xf numFmtId="0" fontId="20" fillId="0" borderId="168" xfId="0" applyFont="1" applyBorder="1" applyAlignment="1">
      <alignment horizontal="center" vertical="center" wrapText="1"/>
    </xf>
    <xf numFmtId="0" fontId="21" fillId="0" borderId="177" xfId="0" applyFont="1" applyBorder="1" applyAlignment="1">
      <alignment horizontal="center" vertical="center" wrapText="1"/>
    </xf>
    <xf numFmtId="2" fontId="21" fillId="10" borderId="168" xfId="0" applyNumberFormat="1" applyFont="1" applyFill="1" applyBorder="1" applyAlignment="1">
      <alignment horizontal="center"/>
    </xf>
    <xf numFmtId="0" fontId="81" fillId="5" borderId="184" xfId="0" applyFont="1" applyFill="1" applyBorder="1" applyAlignment="1">
      <alignment horizontal="center" vertical="center"/>
    </xf>
    <xf numFmtId="0" fontId="20" fillId="13" borderId="183" xfId="0" applyFont="1" applyFill="1" applyBorder="1" applyAlignment="1">
      <alignment horizontal="center"/>
    </xf>
    <xf numFmtId="1" fontId="20" fillId="13" borderId="183" xfId="0" applyNumberFormat="1" applyFont="1" applyFill="1" applyBorder="1" applyAlignment="1">
      <alignment horizontal="center"/>
    </xf>
    <xf numFmtId="0" fontId="81" fillId="5" borderId="183" xfId="0" applyFont="1" applyFill="1" applyBorder="1" applyAlignment="1">
      <alignment horizontal="center" vertical="center"/>
    </xf>
    <xf numFmtId="0" fontId="81" fillId="5" borderId="186" xfId="0" applyFont="1" applyFill="1" applyBorder="1" applyAlignment="1">
      <alignment horizontal="center" vertical="center"/>
    </xf>
    <xf numFmtId="1" fontId="20" fillId="13" borderId="186" xfId="0" applyNumberFormat="1" applyFont="1" applyFill="1" applyBorder="1" applyAlignment="1">
      <alignment horizontal="center"/>
    </xf>
    <xf numFmtId="1" fontId="20" fillId="11" borderId="186" xfId="0" applyNumberFormat="1" applyFont="1" applyFill="1" applyBorder="1" applyAlignment="1">
      <alignment horizontal="center" vertical="center"/>
    </xf>
    <xf numFmtId="1" fontId="81" fillId="0" borderId="183" xfId="0" applyNumberFormat="1" applyFont="1" applyBorder="1" applyAlignment="1">
      <alignment horizontal="center"/>
    </xf>
    <xf numFmtId="1" fontId="20" fillId="0" borderId="186" xfId="0" applyNumberFormat="1" applyFont="1" applyBorder="1" applyAlignment="1">
      <alignment horizontal="center" vertical="center"/>
    </xf>
    <xf numFmtId="1" fontId="81" fillId="10" borderId="183" xfId="0" applyNumberFormat="1" applyFont="1" applyFill="1" applyBorder="1" applyAlignment="1">
      <alignment horizontal="center"/>
    </xf>
    <xf numFmtId="1" fontId="20" fillId="10" borderId="183" xfId="0" applyNumberFormat="1" applyFont="1" applyFill="1" applyBorder="1" applyAlignment="1">
      <alignment horizontal="center" vertical="center"/>
    </xf>
    <xf numFmtId="1" fontId="20" fillId="10" borderId="186" xfId="0" applyNumberFormat="1" applyFont="1" applyFill="1" applyBorder="1" applyAlignment="1">
      <alignment horizontal="center" vertical="center"/>
    </xf>
    <xf numFmtId="1" fontId="20" fillId="12" borderId="186" xfId="0" applyNumberFormat="1" applyFont="1" applyFill="1" applyBorder="1" applyAlignment="1">
      <alignment horizontal="center"/>
    </xf>
    <xf numFmtId="0" fontId="81" fillId="5" borderId="188" xfId="0" applyFont="1" applyFill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 wrapText="1"/>
    </xf>
    <xf numFmtId="1" fontId="20" fillId="0" borderId="186" xfId="0" applyNumberFormat="1" applyFont="1" applyBorder="1" applyAlignment="1">
      <alignment horizontal="center"/>
    </xf>
    <xf numFmtId="0" fontId="82" fillId="0" borderId="0" xfId="0" applyFont="1" applyAlignment="1">
      <alignment vertical="center"/>
    </xf>
    <xf numFmtId="0" fontId="21" fillId="14" borderId="185" xfId="0" applyFont="1" applyFill="1" applyBorder="1" applyAlignment="1">
      <alignment horizontal="center" vertical="center" wrapText="1"/>
    </xf>
    <xf numFmtId="0" fontId="20" fillId="14" borderId="183" xfId="0" applyFont="1" applyFill="1" applyBorder="1" applyAlignment="1">
      <alignment horizontal="center"/>
    </xf>
    <xf numFmtId="1" fontId="20" fillId="14" borderId="183" xfId="0" applyNumberFormat="1" applyFont="1" applyFill="1" applyBorder="1" applyAlignment="1">
      <alignment horizontal="center"/>
    </xf>
    <xf numFmtId="0" fontId="20" fillId="14" borderId="176" xfId="0" applyFont="1" applyFill="1" applyBorder="1" applyAlignment="1">
      <alignment horizontal="center"/>
    </xf>
    <xf numFmtId="0" fontId="21" fillId="14" borderId="194" xfId="0" applyFont="1" applyFill="1" applyBorder="1" applyAlignment="1">
      <alignment horizontal="center" vertical="center" wrapText="1"/>
    </xf>
    <xf numFmtId="0" fontId="81" fillId="15" borderId="183" xfId="0" applyFont="1" applyFill="1" applyBorder="1" applyAlignment="1">
      <alignment horizontal="center" vertical="center"/>
    </xf>
    <xf numFmtId="1" fontId="20" fillId="15" borderId="183" xfId="0" applyNumberFormat="1" applyFont="1" applyFill="1" applyBorder="1" applyAlignment="1">
      <alignment horizontal="center"/>
    </xf>
    <xf numFmtId="0" fontId="20" fillId="15" borderId="183" xfId="0" applyFont="1" applyFill="1" applyBorder="1" applyAlignment="1">
      <alignment horizontal="center" vertical="center"/>
    </xf>
    <xf numFmtId="0" fontId="81" fillId="15" borderId="186" xfId="0" applyFont="1" applyFill="1" applyBorder="1" applyAlignment="1">
      <alignment horizontal="center" vertical="center"/>
    </xf>
    <xf numFmtId="0" fontId="21" fillId="0" borderId="180" xfId="0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0" fillId="0" borderId="0" xfId="0"/>
    <xf numFmtId="0" fontId="67" fillId="0" borderId="172" xfId="0" applyFont="1" applyBorder="1" applyAlignment="1">
      <alignment horizontal="center" vertical="center" textRotation="90"/>
    </xf>
    <xf numFmtId="0" fontId="59" fillId="0" borderId="17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8" fillId="6" borderId="172" xfId="0" applyFont="1" applyFill="1" applyBorder="1" applyAlignment="1">
      <alignment horizontal="center" vertical="center"/>
    </xf>
    <xf numFmtId="0" fontId="67" fillId="6" borderId="172" xfId="0" applyFont="1" applyFill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165" fontId="2" fillId="7" borderId="172" xfId="0" applyNumberFormat="1" applyFont="1" applyFill="1" applyBorder="1" applyAlignment="1">
      <alignment horizontal="center" vertical="center"/>
    </xf>
    <xf numFmtId="165" fontId="59" fillId="0" borderId="172" xfId="0" applyNumberFormat="1" applyFont="1" applyBorder="1" applyAlignment="1">
      <alignment horizontal="center" vertical="center"/>
    </xf>
    <xf numFmtId="0" fontId="59" fillId="0" borderId="172" xfId="0" applyFont="1" applyBorder="1" applyAlignment="1">
      <alignment horizontal="center" vertical="center" textRotation="14"/>
    </xf>
    <xf numFmtId="0" fontId="2" fillId="0" borderId="172" xfId="0" applyFont="1" applyBorder="1" applyAlignment="1">
      <alignment horizontal="center"/>
    </xf>
    <xf numFmtId="0" fontId="70" fillId="6" borderId="172" xfId="0" applyFont="1" applyFill="1" applyBorder="1" applyAlignment="1">
      <alignment horizontal="center" vertical="center"/>
    </xf>
    <xf numFmtId="0" fontId="68" fillId="6" borderId="172" xfId="0" applyFont="1" applyFill="1" applyBorder="1" applyAlignment="1">
      <alignment horizontal="center"/>
    </xf>
    <xf numFmtId="0" fontId="68" fillId="6" borderId="172" xfId="0" applyFont="1" applyFill="1" applyBorder="1" applyAlignment="1">
      <alignment horizontal="left"/>
    </xf>
    <xf numFmtId="0" fontId="68" fillId="7" borderId="0" xfId="0" applyFont="1" applyFill="1" applyAlignment="1">
      <alignment horizontal="left"/>
    </xf>
    <xf numFmtId="9" fontId="1" fillId="0" borderId="0" xfId="0" applyNumberFormat="1" applyFont="1" applyAlignment="1">
      <alignment horizontal="left"/>
    </xf>
    <xf numFmtId="9" fontId="6" fillId="0" borderId="0" xfId="0" applyNumberFormat="1" applyFont="1" applyAlignment="1">
      <alignment horizontal="left"/>
    </xf>
    <xf numFmtId="0" fontId="67" fillId="0" borderId="172" xfId="0" applyFont="1" applyBorder="1" applyAlignment="1">
      <alignment horizontal="center" vertical="center"/>
    </xf>
    <xf numFmtId="0" fontId="67" fillId="6" borderId="173" xfId="0" applyFont="1" applyFill="1" applyBorder="1" applyAlignment="1">
      <alignment horizontal="center" vertical="center"/>
    </xf>
    <xf numFmtId="0" fontId="67" fillId="6" borderId="174" xfId="0" applyFont="1" applyFill="1" applyBorder="1" applyAlignment="1">
      <alignment horizontal="center" vertical="center"/>
    </xf>
    <xf numFmtId="0" fontId="67" fillId="6" borderId="175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68" fillId="7" borderId="172" xfId="0" applyFont="1" applyFill="1" applyBorder="1" applyAlignment="1">
      <alignment horizontal="center"/>
    </xf>
    <xf numFmtId="0" fontId="70" fillId="0" borderId="0" xfId="0" applyFont="1" applyAlignment="1">
      <alignment horizontal="left" vertical="center"/>
    </xf>
    <xf numFmtId="0" fontId="68" fillId="7" borderId="17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70" fillId="0" borderId="0" xfId="0" applyFont="1" applyAlignment="1">
      <alignment horizontal="left"/>
    </xf>
    <xf numFmtId="165" fontId="2" fillId="0" borderId="172" xfId="0" applyNumberFormat="1" applyFont="1" applyBorder="1" applyAlignment="1">
      <alignment horizontal="center" vertical="center"/>
    </xf>
    <xf numFmtId="0" fontId="68" fillId="7" borderId="172" xfId="0" applyFont="1" applyFill="1" applyBorder="1" applyAlignment="1">
      <alignment horizontal="left"/>
    </xf>
    <xf numFmtId="0" fontId="70" fillId="7" borderId="172" xfId="0" applyFont="1" applyFill="1" applyBorder="1" applyAlignment="1">
      <alignment horizontal="center" vertical="center"/>
    </xf>
    <xf numFmtId="0" fontId="59" fillId="7" borderId="172" xfId="0" applyFont="1" applyFill="1" applyBorder="1" applyAlignment="1">
      <alignment horizontal="center" vertical="center"/>
    </xf>
    <xf numFmtId="0" fontId="67" fillId="7" borderId="172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21" fillId="0" borderId="183" xfId="0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81" fillId="5" borderId="185" xfId="0" applyFont="1" applyFill="1" applyBorder="1" applyAlignment="1">
      <alignment horizontal="left" vertical="center"/>
    </xf>
    <xf numFmtId="0" fontId="81" fillId="5" borderId="183" xfId="0" applyFont="1" applyFill="1" applyBorder="1" applyAlignment="1">
      <alignment horizontal="left" vertical="center"/>
    </xf>
    <xf numFmtId="0" fontId="21" fillId="0" borderId="185" xfId="0" applyFont="1" applyBorder="1" applyAlignment="1">
      <alignment horizontal="center" vertical="center" wrapText="1"/>
    </xf>
    <xf numFmtId="0" fontId="81" fillId="5" borderId="183" xfId="0" applyFont="1" applyFill="1" applyBorder="1" applyAlignment="1">
      <alignment horizontal="center" vertical="center"/>
    </xf>
    <xf numFmtId="0" fontId="81" fillId="5" borderId="189" xfId="0" applyFont="1" applyFill="1" applyBorder="1" applyAlignment="1">
      <alignment horizontal="center" vertical="center"/>
    </xf>
    <xf numFmtId="0" fontId="81" fillId="5" borderId="190" xfId="0" applyFont="1" applyFill="1" applyBorder="1" applyAlignment="1">
      <alignment horizontal="center" vertical="center"/>
    </xf>
    <xf numFmtId="0" fontId="21" fillId="0" borderId="19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1" fillId="5" borderId="187" xfId="0" applyFont="1" applyFill="1" applyBorder="1" applyAlignment="1">
      <alignment horizontal="left" vertical="center"/>
    </xf>
    <xf numFmtId="0" fontId="81" fillId="5" borderId="184" xfId="0" applyFont="1" applyFill="1" applyBorder="1" applyAlignment="1">
      <alignment horizontal="left" vertical="center"/>
    </xf>
    <xf numFmtId="0" fontId="81" fillId="5" borderId="168" xfId="0" applyFont="1" applyFill="1" applyBorder="1" applyAlignment="1">
      <alignment horizontal="left" vertical="center"/>
    </xf>
    <xf numFmtId="0" fontId="81" fillId="0" borderId="180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20" fillId="0" borderId="168" xfId="0" applyFont="1" applyBorder="1" applyAlignment="1">
      <alignment horizontal="center" vertical="center"/>
    </xf>
    <xf numFmtId="0" fontId="81" fillId="0" borderId="0" xfId="0" applyFont="1" applyAlignment="1">
      <alignment horizontal="left" vertical="top" wrapText="1"/>
    </xf>
    <xf numFmtId="0" fontId="20" fillId="0" borderId="168" xfId="0" applyFont="1" applyBorder="1" applyAlignment="1">
      <alignment horizontal="center" vertical="center" wrapText="1"/>
    </xf>
    <xf numFmtId="0" fontId="21" fillId="0" borderId="180" xfId="0" applyFont="1" applyBorder="1" applyAlignment="1">
      <alignment horizontal="center" vertical="center"/>
    </xf>
    <xf numFmtId="0" fontId="81" fillId="5" borderId="169" xfId="0" applyFont="1" applyFill="1" applyBorder="1" applyAlignment="1">
      <alignment horizontal="left"/>
    </xf>
    <xf numFmtId="0" fontId="81" fillId="5" borderId="171" xfId="0" applyFont="1" applyFill="1" applyBorder="1" applyAlignment="1">
      <alignment horizontal="left"/>
    </xf>
    <xf numFmtId="0" fontId="81" fillId="5" borderId="170" xfId="0" applyFont="1" applyFill="1" applyBorder="1" applyAlignment="1">
      <alignment horizontal="left"/>
    </xf>
    <xf numFmtId="0" fontId="20" fillId="0" borderId="176" xfId="0" applyFont="1" applyBorder="1" applyAlignment="1">
      <alignment horizontal="center" vertical="center" wrapText="1"/>
    </xf>
    <xf numFmtId="0" fontId="20" fillId="0" borderId="177" xfId="0" applyFont="1" applyBorder="1" applyAlignment="1">
      <alignment horizontal="center" vertical="center" wrapText="1"/>
    </xf>
    <xf numFmtId="0" fontId="20" fillId="0" borderId="178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20" fillId="0" borderId="178" xfId="0" applyFont="1" applyBorder="1" applyAlignment="1">
      <alignment horizontal="center" vertical="center"/>
    </xf>
    <xf numFmtId="0" fontId="21" fillId="0" borderId="168" xfId="0" applyFont="1" applyBorder="1" applyAlignment="1">
      <alignment horizontal="center" vertical="center" wrapText="1"/>
    </xf>
    <xf numFmtId="0" fontId="81" fillId="5" borderId="192" xfId="0" applyFont="1" applyFill="1" applyBorder="1" applyAlignment="1">
      <alignment horizontal="center" vertical="center"/>
    </xf>
    <xf numFmtId="0" fontId="81" fillId="5" borderId="19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82" xfId="0" applyFont="1" applyBorder="1" applyAlignment="1">
      <alignment horizontal="center"/>
    </xf>
    <xf numFmtId="0" fontId="20" fillId="0" borderId="176" xfId="0" applyFont="1" applyBorder="1" applyAlignment="1">
      <alignment horizontal="center" vertical="center"/>
    </xf>
    <xf numFmtId="0" fontId="20" fillId="0" borderId="177" xfId="0" applyFont="1" applyBorder="1" applyAlignment="1">
      <alignment horizontal="center" vertical="center"/>
    </xf>
    <xf numFmtId="0" fontId="81" fillId="5" borderId="195" xfId="0" applyFont="1" applyFill="1" applyBorder="1" applyAlignment="1">
      <alignment horizontal="left" vertical="center"/>
    </xf>
    <xf numFmtId="0" fontId="81" fillId="5" borderId="193" xfId="0" applyFont="1" applyFill="1" applyBorder="1" applyAlignment="1">
      <alignment horizontal="left" vertical="center"/>
    </xf>
    <xf numFmtId="0" fontId="81" fillId="5" borderId="169" xfId="0" applyFont="1" applyFill="1" applyBorder="1" applyAlignment="1">
      <alignment horizontal="left" vertical="center"/>
    </xf>
    <xf numFmtId="0" fontId="81" fillId="5" borderId="170" xfId="0" applyFont="1" applyFill="1" applyBorder="1" applyAlignment="1">
      <alignment horizontal="left" vertical="center"/>
    </xf>
    <xf numFmtId="0" fontId="1" fillId="0" borderId="168" xfId="1" applyFont="1" applyBorder="1" applyAlignment="1">
      <alignment horizontal="center" vertical="center"/>
    </xf>
    <xf numFmtId="0" fontId="71" fillId="9" borderId="168" xfId="1" applyFont="1" applyFill="1" applyBorder="1" applyAlignment="1">
      <alignment horizontal="center" vertical="center"/>
    </xf>
    <xf numFmtId="0" fontId="77" fillId="5" borderId="168" xfId="1" applyFont="1" applyFill="1" applyBorder="1" applyAlignment="1">
      <alignment horizontal="center" vertical="center"/>
    </xf>
    <xf numFmtId="0" fontId="15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77" fillId="5" borderId="168" xfId="1" applyFont="1" applyFill="1" applyBorder="1" applyAlignment="1">
      <alignment horizontal="center"/>
    </xf>
    <xf numFmtId="0" fontId="1" fillId="0" borderId="168" xfId="0" applyFont="1" applyBorder="1" applyAlignment="1">
      <alignment horizontal="center" vertical="center"/>
    </xf>
    <xf numFmtId="0" fontId="1" fillId="0" borderId="168" xfId="0" applyFont="1" applyBorder="1" applyAlignment="1">
      <alignment horizontal="center" vertical="center" wrapText="1"/>
    </xf>
    <xf numFmtId="165" fontId="1" fillId="0" borderId="168" xfId="1" applyNumberFormat="1" applyFont="1" applyBorder="1" applyAlignment="1">
      <alignment horizontal="center" vertical="center"/>
    </xf>
    <xf numFmtId="0" fontId="77" fillId="5" borderId="169" xfId="1" applyFont="1" applyFill="1" applyBorder="1" applyAlignment="1">
      <alignment horizontal="center" vertical="center"/>
    </xf>
    <xf numFmtId="0" fontId="77" fillId="5" borderId="171" xfId="1" applyFont="1" applyFill="1" applyBorder="1" applyAlignment="1">
      <alignment horizontal="center" vertical="center"/>
    </xf>
    <xf numFmtId="0" fontId="77" fillId="5" borderId="170" xfId="1" applyFont="1" applyFill="1" applyBorder="1" applyAlignment="1">
      <alignment horizontal="center" vertical="center"/>
    </xf>
    <xf numFmtId="0" fontId="71" fillId="5" borderId="168" xfId="1" applyFont="1" applyFill="1" applyBorder="1" applyAlignment="1">
      <alignment horizontal="center" vertical="center" wrapText="1"/>
    </xf>
    <xf numFmtId="0" fontId="24" fillId="5" borderId="169" xfId="0" applyFont="1" applyFill="1" applyBorder="1" applyAlignment="1">
      <alignment horizontal="left" vertical="center" wrapText="1"/>
    </xf>
    <xf numFmtId="0" fontId="24" fillId="5" borderId="171" xfId="0" applyFont="1" applyFill="1" applyBorder="1" applyAlignment="1">
      <alignment horizontal="left" vertical="center" wrapText="1"/>
    </xf>
    <xf numFmtId="0" fontId="24" fillId="5" borderId="170" xfId="0" applyFont="1" applyFill="1" applyBorder="1" applyAlignment="1">
      <alignment horizontal="left" vertical="center" wrapText="1"/>
    </xf>
    <xf numFmtId="0" fontId="2" fillId="0" borderId="169" xfId="0" applyFont="1" applyBorder="1" applyAlignment="1">
      <alignment horizontal="center"/>
    </xf>
    <xf numFmtId="0" fontId="2" fillId="0" borderId="171" xfId="0" applyFont="1" applyBorder="1" applyAlignment="1">
      <alignment horizontal="center"/>
    </xf>
    <xf numFmtId="0" fontId="2" fillId="0" borderId="170" xfId="0" applyFont="1" applyBorder="1" applyAlignment="1">
      <alignment horizontal="center"/>
    </xf>
    <xf numFmtId="0" fontId="2" fillId="0" borderId="168" xfId="0" applyFont="1" applyBorder="1" applyAlignment="1">
      <alignment horizontal="center"/>
    </xf>
    <xf numFmtId="164" fontId="2" fillId="0" borderId="168" xfId="0" applyNumberFormat="1" applyFont="1" applyBorder="1" applyAlignment="1">
      <alignment horizontal="center"/>
    </xf>
    <xf numFmtId="2" fontId="2" fillId="0" borderId="168" xfId="0" applyNumberFormat="1" applyFont="1" applyBorder="1" applyAlignment="1">
      <alignment horizontal="center"/>
    </xf>
    <xf numFmtId="1" fontId="2" fillId="0" borderId="168" xfId="0" applyNumberFormat="1" applyFont="1" applyBorder="1" applyAlignment="1">
      <alignment horizontal="center"/>
    </xf>
    <xf numFmtId="1" fontId="2" fillId="0" borderId="168" xfId="0" applyNumberFormat="1" applyFont="1" applyBorder="1" applyAlignment="1">
      <alignment horizontal="center" wrapText="1"/>
    </xf>
    <xf numFmtId="0" fontId="2" fillId="0" borderId="168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/>
    </xf>
    <xf numFmtId="0" fontId="24" fillId="5" borderId="168" xfId="0" applyFont="1" applyFill="1" applyBorder="1" applyAlignment="1">
      <alignment horizontal="left"/>
    </xf>
    <xf numFmtId="2" fontId="2" fillId="0" borderId="168" xfId="0" applyNumberFormat="1" applyFont="1" applyBorder="1" applyAlignment="1">
      <alignment horizontal="center" wrapText="1"/>
    </xf>
    <xf numFmtId="0" fontId="2" fillId="0" borderId="168" xfId="0" applyFont="1" applyBorder="1" applyAlignment="1">
      <alignment horizontal="center" wrapText="1"/>
    </xf>
    <xf numFmtId="164" fontId="2" fillId="0" borderId="168" xfId="0" applyNumberFormat="1" applyFont="1" applyBorder="1" applyAlignment="1">
      <alignment horizontal="center" wrapText="1"/>
    </xf>
    <xf numFmtId="0" fontId="24" fillId="0" borderId="168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left"/>
    </xf>
    <xf numFmtId="0" fontId="73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51" fillId="4" borderId="125" xfId="0" applyFont="1" applyFill="1" applyBorder="1" applyAlignment="1" applyProtection="1">
      <alignment horizontal="center" vertical="center" wrapText="1"/>
      <protection locked="0"/>
    </xf>
    <xf numFmtId="0" fontId="51" fillId="4" borderId="126" xfId="0" applyFont="1" applyFill="1" applyBorder="1" applyAlignment="1" applyProtection="1">
      <alignment horizontal="center" vertical="center" wrapText="1"/>
      <protection locked="0"/>
    </xf>
    <xf numFmtId="0" fontId="11" fillId="4" borderId="104" xfId="0" applyFont="1" applyFill="1" applyBorder="1" applyAlignment="1" applyProtection="1">
      <alignment horizontal="center" vertical="center"/>
      <protection locked="0"/>
    </xf>
    <xf numFmtId="0" fontId="11" fillId="4" borderId="101" xfId="0" applyFont="1" applyFill="1" applyBorder="1" applyAlignment="1" applyProtection="1">
      <alignment horizontal="center" vertical="center"/>
      <protection locked="0"/>
    </xf>
    <xf numFmtId="0" fontId="51" fillId="4" borderId="125" xfId="0" applyFont="1" applyFill="1" applyBorder="1" applyAlignment="1" applyProtection="1">
      <alignment horizontal="center" vertical="center"/>
      <protection locked="0"/>
    </xf>
    <xf numFmtId="0" fontId="51" fillId="4" borderId="126" xfId="0" applyFont="1" applyFill="1" applyBorder="1" applyAlignment="1" applyProtection="1">
      <alignment horizontal="center" vertical="center"/>
      <protection locked="0"/>
    </xf>
    <xf numFmtId="0" fontId="51" fillId="4" borderId="72" xfId="0" applyFont="1" applyFill="1" applyBorder="1" applyAlignment="1" applyProtection="1">
      <alignment horizontal="center" vertical="center"/>
      <protection locked="0"/>
    </xf>
    <xf numFmtId="0" fontId="51" fillId="4" borderId="46" xfId="0" applyFont="1" applyFill="1" applyBorder="1" applyAlignment="1" applyProtection="1">
      <alignment horizontal="center" vertical="center"/>
      <protection locked="0"/>
    </xf>
    <xf numFmtId="0" fontId="51" fillId="4" borderId="0" xfId="0" applyFont="1" applyFill="1" applyAlignment="1" applyProtection="1">
      <alignment horizontal="center" vertical="center"/>
      <protection locked="0"/>
    </xf>
    <xf numFmtId="0" fontId="51" fillId="4" borderId="47" xfId="0" applyFont="1" applyFill="1" applyBorder="1" applyAlignment="1" applyProtection="1">
      <alignment horizontal="center" vertical="center"/>
      <protection locked="0"/>
    </xf>
    <xf numFmtId="0" fontId="51" fillId="4" borderId="127" xfId="0" applyFont="1" applyFill="1" applyBorder="1" applyAlignment="1" applyProtection="1">
      <alignment horizontal="center" vertical="center"/>
      <protection locked="0"/>
    </xf>
    <xf numFmtId="0" fontId="51" fillId="4" borderId="128" xfId="0" applyFont="1" applyFill="1" applyBorder="1" applyAlignment="1" applyProtection="1">
      <alignment horizontal="center" vertical="center"/>
      <protection locked="0"/>
    </xf>
    <xf numFmtId="0" fontId="52" fillId="8" borderId="129" xfId="0" applyFont="1" applyFill="1" applyBorder="1" applyAlignment="1" applyProtection="1">
      <alignment horizontal="center" vertical="center" wrapText="1"/>
      <protection locked="0"/>
    </xf>
    <xf numFmtId="0" fontId="52" fillId="8" borderId="130" xfId="0" applyFont="1" applyFill="1" applyBorder="1" applyAlignment="1" applyProtection="1">
      <alignment horizontal="center" vertical="center" wrapText="1"/>
      <protection locked="0"/>
    </xf>
    <xf numFmtId="0" fontId="51" fillId="4" borderId="129" xfId="0" applyFont="1" applyFill="1" applyBorder="1" applyAlignment="1" applyProtection="1">
      <alignment horizontal="center" vertical="center" wrapText="1"/>
      <protection locked="0"/>
    </xf>
    <xf numFmtId="0" fontId="51" fillId="4" borderId="130" xfId="0" applyFont="1" applyFill="1" applyBorder="1" applyAlignment="1" applyProtection="1">
      <alignment horizontal="center" vertical="center" wrapText="1"/>
      <protection locked="0"/>
    </xf>
    <xf numFmtId="0" fontId="51" fillId="4" borderId="46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Alignment="1" applyProtection="1">
      <alignment horizontal="center" vertical="center" wrapText="1"/>
      <protection locked="0"/>
    </xf>
    <xf numFmtId="0" fontId="74" fillId="8" borderId="70" xfId="0" applyFont="1" applyFill="1" applyBorder="1" applyAlignment="1" applyProtection="1">
      <alignment horizontal="center" vertical="center"/>
      <protection locked="0"/>
    </xf>
    <xf numFmtId="0" fontId="74" fillId="8" borderId="52" xfId="0" applyFont="1" applyFill="1" applyBorder="1" applyAlignment="1" applyProtection="1">
      <alignment horizontal="center" vertical="center"/>
      <protection locked="0"/>
    </xf>
    <xf numFmtId="2" fontId="54" fillId="4" borderId="130" xfId="0" applyNumberFormat="1" applyFont="1" applyFill="1" applyBorder="1" applyAlignment="1" applyProtection="1">
      <alignment horizontal="center" vertical="center"/>
      <protection locked="0"/>
    </xf>
    <xf numFmtId="2" fontId="54" fillId="4" borderId="73" xfId="0" applyNumberFormat="1" applyFont="1" applyFill="1" applyBorder="1" applyAlignment="1" applyProtection="1">
      <alignment horizontal="center" vertical="center"/>
      <protection locked="0"/>
    </xf>
    <xf numFmtId="2" fontId="54" fillId="4" borderId="128" xfId="0" applyNumberFormat="1" applyFont="1" applyFill="1" applyBorder="1" applyAlignment="1" applyProtection="1">
      <alignment horizontal="center" vertical="center"/>
      <protection locked="0"/>
    </xf>
    <xf numFmtId="2" fontId="54" fillId="4" borderId="131" xfId="0" applyNumberFormat="1" applyFont="1" applyFill="1" applyBorder="1" applyAlignment="1" applyProtection="1">
      <alignment horizontal="center" vertical="center"/>
      <protection locked="0"/>
    </xf>
    <xf numFmtId="0" fontId="52" fillId="8" borderId="132" xfId="0" applyFont="1" applyFill="1" applyBorder="1" applyAlignment="1" applyProtection="1">
      <alignment horizontal="center" vertical="center"/>
      <protection locked="0"/>
    </xf>
    <xf numFmtId="0" fontId="52" fillId="8" borderId="120" xfId="0" applyFont="1" applyFill="1" applyBorder="1" applyAlignment="1" applyProtection="1">
      <alignment horizontal="center" vertical="center"/>
      <protection locked="0"/>
    </xf>
    <xf numFmtId="0" fontId="52" fillId="8" borderId="133" xfId="0" applyFont="1" applyFill="1" applyBorder="1" applyAlignment="1" applyProtection="1">
      <alignment horizontal="center" vertical="center"/>
      <protection locked="0"/>
    </xf>
    <xf numFmtId="0" fontId="52" fillId="8" borderId="134" xfId="0" applyFont="1" applyFill="1" applyBorder="1" applyAlignment="1" applyProtection="1">
      <alignment horizontal="center" vertical="center"/>
      <protection locked="0"/>
    </xf>
    <xf numFmtId="0" fontId="52" fillId="8" borderId="135" xfId="0" applyFont="1" applyFill="1" applyBorder="1" applyAlignment="1" applyProtection="1">
      <alignment horizontal="center" vertical="center"/>
      <protection locked="0"/>
    </xf>
    <xf numFmtId="2" fontId="51" fillId="0" borderId="20" xfId="0" applyNumberFormat="1" applyFont="1" applyBorder="1" applyAlignment="1" applyProtection="1">
      <alignment horizontal="center" vertical="center"/>
      <protection locked="0"/>
    </xf>
    <xf numFmtId="2" fontId="51" fillId="0" borderId="2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/>
      <protection locked="0"/>
    </xf>
    <xf numFmtId="2" fontId="51" fillId="0" borderId="127" xfId="0" applyNumberFormat="1" applyFont="1" applyBorder="1" applyAlignment="1" applyProtection="1">
      <alignment horizontal="center" vertical="center"/>
      <protection locked="0"/>
    </xf>
    <xf numFmtId="2" fontId="51" fillId="0" borderId="131" xfId="0" applyNumberFormat="1" applyFont="1" applyBorder="1" applyAlignment="1" applyProtection="1">
      <alignment horizontal="center" vertical="center"/>
      <protection locked="0"/>
    </xf>
    <xf numFmtId="0" fontId="11" fillId="3" borderId="132" xfId="0" applyFont="1" applyFill="1" applyBorder="1" applyAlignment="1" applyProtection="1">
      <alignment horizontal="center" vertical="center" textRotation="90"/>
      <protection locked="0"/>
    </xf>
    <xf numFmtId="0" fontId="11" fillId="3" borderId="98" xfId="0" applyFont="1" applyFill="1" applyBorder="1" applyAlignment="1" applyProtection="1">
      <alignment horizontal="center" vertical="center" textRotation="90"/>
      <protection locked="0"/>
    </xf>
    <xf numFmtId="0" fontId="11" fillId="3" borderId="120" xfId="0" applyFont="1" applyFill="1" applyBorder="1" applyAlignment="1" applyProtection="1">
      <alignment horizontal="center" vertical="center" textRotation="90"/>
      <protection locked="0"/>
    </xf>
    <xf numFmtId="0" fontId="11" fillId="3" borderId="125" xfId="0" applyFont="1" applyFill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center" vertical="center"/>
      <protection locked="0"/>
    </xf>
    <xf numFmtId="0" fontId="11" fillId="3" borderId="127" xfId="0" applyFont="1" applyFill="1" applyBorder="1" applyAlignment="1" applyProtection="1">
      <alignment horizontal="center" vertical="center"/>
      <protection locked="0"/>
    </xf>
    <xf numFmtId="0" fontId="52" fillId="8" borderId="125" xfId="0" applyFont="1" applyFill="1" applyBorder="1" applyAlignment="1" applyProtection="1">
      <alignment horizontal="center" vertical="center"/>
      <protection locked="0"/>
    </xf>
    <xf numFmtId="0" fontId="52" fillId="8" borderId="127" xfId="0" applyFont="1" applyFill="1" applyBorder="1" applyAlignment="1" applyProtection="1">
      <alignment horizontal="center" vertical="center"/>
      <protection locked="0"/>
    </xf>
    <xf numFmtId="2" fontId="51" fillId="0" borderId="125" xfId="0" applyNumberFormat="1" applyFont="1" applyBorder="1" applyAlignment="1" applyProtection="1">
      <alignment horizontal="center" vertical="center"/>
      <protection locked="0"/>
    </xf>
    <xf numFmtId="2" fontId="51" fillId="0" borderId="72" xfId="0" applyNumberFormat="1" applyFont="1" applyBorder="1" applyAlignment="1" applyProtection="1">
      <alignment horizontal="center" vertical="center"/>
      <protection locked="0"/>
    </xf>
    <xf numFmtId="2" fontId="51" fillId="0" borderId="46" xfId="0" applyNumberFormat="1" applyFont="1" applyBorder="1" applyAlignment="1" applyProtection="1">
      <alignment horizontal="center" vertical="center"/>
      <protection locked="0"/>
    </xf>
    <xf numFmtId="2" fontId="51" fillId="0" borderId="47" xfId="0" applyNumberFormat="1" applyFont="1" applyBorder="1" applyAlignment="1" applyProtection="1">
      <alignment horizontal="center" vertical="center"/>
      <protection locked="0"/>
    </xf>
    <xf numFmtId="2" fontId="51" fillId="0" borderId="103" xfId="0" applyNumberFormat="1" applyFont="1" applyBorder="1" applyAlignment="1" applyProtection="1">
      <alignment horizontal="center" vertical="center"/>
      <protection locked="0"/>
    </xf>
    <xf numFmtId="2" fontId="51" fillId="0" borderId="101" xfId="0" applyNumberFormat="1" applyFont="1" applyBorder="1" applyAlignment="1" applyProtection="1">
      <alignment horizontal="center" vertical="center"/>
      <protection locked="0"/>
    </xf>
    <xf numFmtId="0" fontId="11" fillId="0" borderId="132" xfId="0" applyFont="1" applyBorder="1" applyAlignment="1" applyProtection="1">
      <alignment horizontal="center" vertical="center"/>
      <protection locked="0"/>
    </xf>
    <xf numFmtId="0" fontId="11" fillId="0" borderId="98" xfId="0" applyFont="1" applyBorder="1" applyAlignment="1" applyProtection="1">
      <alignment horizontal="center" vertical="center"/>
      <protection locked="0"/>
    </xf>
    <xf numFmtId="0" fontId="11" fillId="0" borderId="105" xfId="0" applyFont="1" applyBorder="1" applyAlignment="1" applyProtection="1">
      <alignment horizontal="center" vertical="center"/>
      <protection locked="0"/>
    </xf>
    <xf numFmtId="2" fontId="51" fillId="0" borderId="106" xfId="0" applyNumberFormat="1" applyFont="1" applyBorder="1" applyAlignment="1" applyProtection="1">
      <alignment horizontal="center" vertical="center"/>
      <protection locked="0"/>
    </xf>
    <xf numFmtId="2" fontId="51" fillId="0" borderId="52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wrapText="1"/>
      <protection locked="0"/>
    </xf>
    <xf numFmtId="0" fontId="37" fillId="8" borderId="137" xfId="0" applyFont="1" applyFill="1" applyBorder="1" applyAlignment="1" applyProtection="1">
      <alignment horizontal="center" vertical="center"/>
      <protection locked="0"/>
    </xf>
    <xf numFmtId="0" fontId="37" fillId="8" borderId="138" xfId="0" applyFont="1" applyFill="1" applyBorder="1" applyAlignment="1" applyProtection="1">
      <alignment horizontal="center" vertical="center"/>
      <protection locked="0"/>
    </xf>
    <xf numFmtId="0" fontId="37" fillId="8" borderId="139" xfId="0" applyFont="1" applyFill="1" applyBorder="1" applyAlignment="1" applyProtection="1">
      <alignment horizontal="center" vertical="center"/>
      <protection locked="0"/>
    </xf>
    <xf numFmtId="0" fontId="6" fillId="0" borderId="140" xfId="0" applyFont="1" applyBorder="1" applyAlignment="1" applyProtection="1">
      <alignment horizontal="center" vertical="center"/>
      <protection locked="0"/>
    </xf>
    <xf numFmtId="0" fontId="6" fillId="0" borderId="14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36" xfId="0" applyFont="1" applyBorder="1" applyAlignment="1" applyProtection="1">
      <alignment horizontal="center" vertical="center"/>
      <protection locked="0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13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0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1" fontId="52" fillId="8" borderId="132" xfId="0" applyNumberFormat="1" applyFont="1" applyFill="1" applyBorder="1" applyAlignment="1">
      <alignment horizontal="center" vertical="center"/>
    </xf>
    <xf numFmtId="1" fontId="52" fillId="8" borderId="105" xfId="0" applyNumberFormat="1" applyFont="1" applyFill="1" applyBorder="1" applyAlignment="1">
      <alignment horizontal="center" vertical="center"/>
    </xf>
    <xf numFmtId="0" fontId="9" fillId="8" borderId="133" xfId="0" applyFont="1" applyFill="1" applyBorder="1" applyAlignment="1" applyProtection="1">
      <alignment horizontal="center" vertical="center"/>
      <protection locked="0"/>
    </xf>
    <xf numFmtId="0" fontId="9" fillId="8" borderId="134" xfId="0" applyFont="1" applyFill="1" applyBorder="1" applyAlignment="1" applyProtection="1">
      <alignment horizontal="center" vertical="center"/>
      <protection locked="0"/>
    </xf>
    <xf numFmtId="0" fontId="9" fillId="8" borderId="135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 wrapText="1"/>
      <protection locked="0"/>
    </xf>
    <xf numFmtId="1" fontId="52" fillId="8" borderId="125" xfId="0" applyNumberFormat="1" applyFont="1" applyFill="1" applyBorder="1" applyAlignment="1">
      <alignment horizontal="center" vertical="center"/>
    </xf>
    <xf numFmtId="1" fontId="52" fillId="8" borderId="127" xfId="0" applyNumberFormat="1" applyFont="1" applyFill="1" applyBorder="1" applyAlignment="1">
      <alignment horizontal="center" vertical="center"/>
    </xf>
    <xf numFmtId="0" fontId="24" fillId="3" borderId="126" xfId="0" applyFont="1" applyFill="1" applyBorder="1" applyAlignment="1" applyProtection="1">
      <alignment vertical="top"/>
      <protection locked="0"/>
    </xf>
    <xf numFmtId="0" fontId="11" fillId="0" borderId="142" xfId="0" applyFont="1" applyBorder="1" applyAlignment="1" applyProtection="1">
      <alignment horizontal="center" vertical="center"/>
      <protection locked="0"/>
    </xf>
    <xf numFmtId="0" fontId="11" fillId="0" borderId="12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/>
    </xf>
    <xf numFmtId="0" fontId="0" fillId="0" borderId="77" xfId="0" applyBorder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07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45" xfId="0" applyBorder="1" applyAlignment="1">
      <alignment horizontal="center"/>
    </xf>
    <xf numFmtId="0" fontId="41" fillId="0" borderId="70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3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136" xfId="0" applyFont="1" applyBorder="1" applyAlignment="1">
      <alignment horizontal="center"/>
    </xf>
    <xf numFmtId="0" fontId="20" fillId="0" borderId="14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37" fillId="2" borderId="17" xfId="0" applyFont="1" applyFill="1" applyBorder="1" applyAlignment="1">
      <alignment horizontal="center"/>
    </xf>
    <xf numFmtId="0" fontId="37" fillId="2" borderId="30" xfId="0" applyFont="1" applyFill="1" applyBorder="1" applyAlignment="1">
      <alignment horizontal="center"/>
    </xf>
    <xf numFmtId="0" fontId="37" fillId="2" borderId="70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2" fontId="0" fillId="0" borderId="145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28" fillId="2" borderId="69" xfId="0" applyFont="1" applyFill="1" applyBorder="1" applyAlignment="1">
      <alignment horizontal="center"/>
    </xf>
    <xf numFmtId="0" fontId="28" fillId="2" borderId="33" xfId="0" applyFont="1" applyFill="1" applyBorder="1" applyAlignment="1">
      <alignment horizontal="center"/>
    </xf>
    <xf numFmtId="2" fontId="9" fillId="2" borderId="143" xfId="0" applyNumberFormat="1" applyFont="1" applyFill="1" applyBorder="1" applyAlignment="1">
      <alignment horizontal="center" wrapText="1"/>
    </xf>
    <xf numFmtId="2" fontId="9" fillId="2" borderId="85" xfId="0" applyNumberFormat="1" applyFont="1" applyFill="1" applyBorder="1" applyAlignment="1">
      <alignment horizontal="center" wrapText="1"/>
    </xf>
    <xf numFmtId="2" fontId="0" fillId="0" borderId="146" xfId="0" applyNumberFormat="1" applyBorder="1" applyAlignment="1">
      <alignment horizontal="center"/>
    </xf>
    <xf numFmtId="2" fontId="0" fillId="0" borderId="110" xfId="0" applyNumberFormat="1" applyBorder="1" applyAlignment="1">
      <alignment horizontal="center"/>
    </xf>
    <xf numFmtId="2" fontId="0" fillId="0" borderId="116" xfId="0" applyNumberFormat="1" applyBorder="1" applyAlignment="1">
      <alignment horizontal="center"/>
    </xf>
    <xf numFmtId="0" fontId="35" fillId="0" borderId="0" xfId="0" applyFont="1" applyAlignment="1">
      <alignment horizontal="center"/>
    </xf>
    <xf numFmtId="0" fontId="23" fillId="2" borderId="143" xfId="0" applyFont="1" applyFill="1" applyBorder="1" applyAlignment="1">
      <alignment horizontal="center" vertical="center"/>
    </xf>
    <xf numFmtId="0" fontId="23" fillId="2" borderId="85" xfId="0" applyFont="1" applyFill="1" applyBorder="1" applyAlignment="1">
      <alignment horizontal="center" vertical="center"/>
    </xf>
    <xf numFmtId="0" fontId="22" fillId="2" borderId="147" xfId="0" applyFont="1" applyFill="1" applyBorder="1" applyAlignment="1">
      <alignment horizontal="center" vertical="center"/>
    </xf>
    <xf numFmtId="0" fontId="22" fillId="2" borderId="83" xfId="0" applyFont="1" applyFill="1" applyBorder="1" applyAlignment="1">
      <alignment horizontal="center" vertical="center"/>
    </xf>
    <xf numFmtId="0" fontId="22" fillId="2" borderId="148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149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/>
    </xf>
    <xf numFmtId="0" fontId="34" fillId="0" borderId="133" xfId="0" applyFont="1" applyBorder="1" applyAlignment="1">
      <alignment horizontal="center"/>
    </xf>
    <xf numFmtId="0" fontId="34" fillId="0" borderId="134" xfId="0" applyFont="1" applyBorder="1" applyAlignment="1">
      <alignment horizontal="center"/>
    </xf>
    <xf numFmtId="0" fontId="34" fillId="0" borderId="135" xfId="0" applyFont="1" applyBorder="1" applyAlignment="1">
      <alignment horizontal="center"/>
    </xf>
    <xf numFmtId="0" fontId="19" fillId="0" borderId="133" xfId="0" applyFont="1" applyBorder="1" applyAlignment="1">
      <alignment horizontal="center" vertical="center" wrapText="1"/>
    </xf>
    <xf numFmtId="0" fontId="19" fillId="0" borderId="134" xfId="0" applyFont="1" applyBorder="1" applyAlignment="1">
      <alignment horizontal="center" vertical="center" wrapText="1"/>
    </xf>
    <xf numFmtId="0" fontId="19" fillId="0" borderId="135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44" fontId="16" fillId="2" borderId="144" xfId="2" applyFont="1" applyFill="1" applyBorder="1" applyAlignment="1">
      <alignment horizontal="center"/>
    </xf>
    <xf numFmtId="44" fontId="16" fillId="2" borderId="104" xfId="2" applyFont="1" applyFill="1" applyBorder="1" applyAlignment="1">
      <alignment horizontal="center"/>
    </xf>
    <xf numFmtId="44" fontId="16" fillId="2" borderId="101" xfId="2" applyFont="1" applyFill="1" applyBorder="1" applyAlignment="1">
      <alignment horizontal="center"/>
    </xf>
    <xf numFmtId="2" fontId="7" fillId="0" borderId="145" xfId="0" applyNumberFormat="1" applyFont="1" applyBorder="1" applyAlignment="1">
      <alignment horizontal="center"/>
    </xf>
    <xf numFmtId="2" fontId="7" fillId="0" borderId="70" xfId="0" applyNumberFormat="1" applyFont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5" fillId="0" borderId="153" xfId="0" applyFont="1" applyBorder="1" applyAlignment="1">
      <alignment horizontal="center" vertical="center"/>
    </xf>
    <xf numFmtId="0" fontId="14" fillId="0" borderId="153" xfId="0" applyFont="1" applyBorder="1" applyAlignment="1">
      <alignment horizontal="center" vertical="center"/>
    </xf>
    <xf numFmtId="0" fontId="14" fillId="0" borderId="152" xfId="0" applyFont="1" applyBorder="1" applyAlignment="1">
      <alignment horizontal="center" vertical="center"/>
    </xf>
    <xf numFmtId="0" fontId="22" fillId="2" borderId="150" xfId="0" applyFont="1" applyFill="1" applyBorder="1" applyAlignment="1">
      <alignment horizontal="center" vertical="center"/>
    </xf>
    <xf numFmtId="0" fontId="22" fillId="2" borderId="134" xfId="0" applyFont="1" applyFill="1" applyBorder="1" applyAlignment="1">
      <alignment horizontal="center" vertical="center"/>
    </xf>
    <xf numFmtId="0" fontId="22" fillId="2" borderId="155" xfId="0" applyFont="1" applyFill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5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8" fillId="0" borderId="157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44" fontId="16" fillId="2" borderId="69" xfId="2" applyFont="1" applyFill="1" applyBorder="1" applyAlignment="1">
      <alignment horizontal="center"/>
    </xf>
    <xf numFmtId="44" fontId="16" fillId="2" borderId="32" xfId="2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0" borderId="152" xfId="0" applyFont="1" applyBorder="1" applyAlignment="1">
      <alignment horizontal="center"/>
    </xf>
    <xf numFmtId="0" fontId="7" fillId="0" borderId="160" xfId="0" applyFont="1" applyBorder="1" applyAlignment="1">
      <alignment horizontal="center" vertical="center"/>
    </xf>
    <xf numFmtId="44" fontId="10" fillId="2" borderId="150" xfId="2" applyFont="1" applyFill="1" applyBorder="1" applyAlignment="1">
      <alignment horizontal="center"/>
    </xf>
    <xf numFmtId="44" fontId="10" fillId="2" borderId="134" xfId="2" applyFont="1" applyFill="1" applyBorder="1" applyAlignment="1">
      <alignment horizontal="center"/>
    </xf>
    <xf numFmtId="44" fontId="10" fillId="2" borderId="135" xfId="2" applyFont="1" applyFill="1" applyBorder="1" applyAlignment="1">
      <alignment horizontal="center"/>
    </xf>
    <xf numFmtId="44" fontId="10" fillId="2" borderId="133" xfId="2" applyFont="1" applyFill="1" applyBorder="1" applyAlignment="1">
      <alignment horizontal="center"/>
    </xf>
    <xf numFmtId="0" fontId="14" fillId="0" borderId="152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2" borderId="69" xfId="0" applyFont="1" applyFill="1" applyBorder="1" applyAlignment="1">
      <alignment horizontal="center"/>
    </xf>
    <xf numFmtId="0" fontId="16" fillId="2" borderId="117" xfId="0" applyFont="1" applyFill="1" applyBorder="1" applyAlignment="1">
      <alignment horizontal="center"/>
    </xf>
    <xf numFmtId="0" fontId="15" fillId="0" borderId="153" xfId="0" applyFont="1" applyBorder="1" applyAlignment="1">
      <alignment horizontal="center"/>
    </xf>
    <xf numFmtId="0" fontId="14" fillId="0" borderId="154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0" fillId="2" borderId="150" xfId="0" applyFont="1" applyFill="1" applyBorder="1" applyAlignment="1">
      <alignment horizontal="center"/>
    </xf>
    <xf numFmtId="0" fontId="10" fillId="2" borderId="134" xfId="0" applyFont="1" applyFill="1" applyBorder="1" applyAlignment="1">
      <alignment horizontal="center"/>
    </xf>
    <xf numFmtId="0" fontId="10" fillId="2" borderId="155" xfId="0" applyFont="1" applyFill="1" applyBorder="1" applyAlignment="1">
      <alignment horizontal="center"/>
    </xf>
    <xf numFmtId="0" fontId="14" fillId="0" borderId="14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5" fillId="0" borderId="151" xfId="0" applyFont="1" applyBorder="1" applyAlignment="1">
      <alignment horizontal="center"/>
    </xf>
    <xf numFmtId="0" fontId="25" fillId="0" borderId="153" xfId="0" applyFont="1" applyBorder="1" applyAlignment="1">
      <alignment horizontal="center"/>
    </xf>
    <xf numFmtId="0" fontId="25" fillId="0" borderId="107" xfId="0" applyFont="1" applyBorder="1" applyAlignment="1">
      <alignment horizontal="center"/>
    </xf>
    <xf numFmtId="0" fontId="25" fillId="0" borderId="153" xfId="0" applyFont="1" applyBorder="1" applyAlignment="1">
      <alignment horizontal="center" vertical="center"/>
    </xf>
    <xf numFmtId="0" fontId="14" fillId="0" borderId="154" xfId="0" applyFont="1" applyBorder="1" applyAlignment="1">
      <alignment horizontal="center" vertical="center"/>
    </xf>
    <xf numFmtId="0" fontId="14" fillId="0" borderId="162" xfId="0" applyFont="1" applyBorder="1" applyAlignment="1">
      <alignment horizontal="center" vertical="center" wrapText="1"/>
    </xf>
    <xf numFmtId="0" fontId="25" fillId="0" borderId="160" xfId="0" applyFont="1" applyBorder="1" applyAlignment="1">
      <alignment horizontal="center"/>
    </xf>
    <xf numFmtId="0" fontId="25" fillId="0" borderId="160" xfId="0" applyFont="1" applyBorder="1" applyAlignment="1">
      <alignment horizontal="center" vertical="center"/>
    </xf>
    <xf numFmtId="44" fontId="10" fillId="2" borderId="155" xfId="2" applyFont="1" applyFill="1" applyBorder="1" applyAlignment="1">
      <alignment horizontal="center"/>
    </xf>
    <xf numFmtId="44" fontId="16" fillId="2" borderId="147" xfId="2" applyFont="1" applyFill="1" applyBorder="1" applyAlignment="1">
      <alignment horizontal="center"/>
    </xf>
    <xf numFmtId="44" fontId="16" fillId="2" borderId="37" xfId="2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5" fillId="0" borderId="144" xfId="0" applyFont="1" applyBorder="1" applyAlignment="1">
      <alignment horizontal="center"/>
    </xf>
    <xf numFmtId="0" fontId="15" fillId="0" borderId="101" xfId="0" applyFont="1" applyBorder="1" applyAlignment="1">
      <alignment horizontal="center"/>
    </xf>
    <xf numFmtId="0" fontId="15" fillId="0" borderId="103" xfId="0" applyFont="1" applyBorder="1" applyAlignment="1">
      <alignment horizontal="center"/>
    </xf>
    <xf numFmtId="0" fontId="15" fillId="0" borderId="163" xfId="0" applyFont="1" applyBorder="1" applyAlignment="1">
      <alignment horizontal="center"/>
    </xf>
    <xf numFmtId="0" fontId="15" fillId="0" borderId="144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46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164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5" fillId="0" borderId="160" xfId="0" applyFont="1" applyBorder="1" applyAlignment="1">
      <alignment horizontal="center" vertical="center"/>
    </xf>
    <xf numFmtId="0" fontId="15" fillId="0" borderId="154" xfId="0" applyFont="1" applyBorder="1" applyAlignment="1">
      <alignment horizontal="center" vertical="center"/>
    </xf>
    <xf numFmtId="0" fontId="10" fillId="2" borderId="16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4" fontId="16" fillId="2" borderId="150" xfId="2" applyFont="1" applyFill="1" applyBorder="1" applyAlignment="1">
      <alignment horizontal="center"/>
    </xf>
    <xf numFmtId="44" fontId="16" fillId="2" borderId="134" xfId="2" applyFont="1" applyFill="1" applyBorder="1" applyAlignment="1">
      <alignment horizontal="center"/>
    </xf>
    <xf numFmtId="44" fontId="16" fillId="2" borderId="126" xfId="2" applyFont="1" applyFill="1" applyBorder="1" applyAlignment="1">
      <alignment horizontal="center"/>
    </xf>
    <xf numFmtId="2" fontId="14" fillId="0" borderId="144" xfId="0" applyNumberFormat="1" applyFont="1" applyBorder="1" applyAlignment="1">
      <alignment horizontal="center"/>
    </xf>
    <xf numFmtId="2" fontId="14" fillId="0" borderId="101" xfId="0" applyNumberFormat="1" applyFont="1" applyBorder="1" applyAlignment="1">
      <alignment horizontal="center"/>
    </xf>
    <xf numFmtId="2" fontId="14" fillId="0" borderId="104" xfId="0" applyNumberFormat="1" applyFont="1" applyBorder="1" applyAlignment="1">
      <alignment horizontal="center"/>
    </xf>
    <xf numFmtId="2" fontId="14" fillId="0" borderId="163" xfId="0" applyNumberFormat="1" applyFont="1" applyBorder="1" applyAlignment="1">
      <alignment horizontal="center"/>
    </xf>
    <xf numFmtId="2" fontId="14" fillId="0" borderId="70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107" xfId="0" applyNumberFormat="1" applyFont="1" applyBorder="1" applyAlignment="1">
      <alignment horizontal="center"/>
    </xf>
    <xf numFmtId="2" fontId="14" fillId="0" borderId="51" xfId="0" applyNumberFormat="1" applyFont="1" applyBorder="1" applyAlignment="1">
      <alignment horizontal="center"/>
    </xf>
    <xf numFmtId="2" fontId="14" fillId="0" borderId="165" xfId="0" applyNumberFormat="1" applyFont="1" applyBorder="1" applyAlignment="1">
      <alignment horizontal="center"/>
    </xf>
    <xf numFmtId="2" fontId="14" fillId="0" borderId="73" xfId="0" applyNumberFormat="1" applyFont="1" applyBorder="1" applyAlignment="1">
      <alignment horizontal="center"/>
    </xf>
    <xf numFmtId="2" fontId="14" fillId="0" borderId="130" xfId="0" applyNumberFormat="1" applyFont="1" applyBorder="1" applyAlignment="1">
      <alignment horizontal="center"/>
    </xf>
    <xf numFmtId="2" fontId="14" fillId="0" borderId="166" xfId="0" applyNumberFormat="1" applyFont="1" applyBorder="1" applyAlignment="1">
      <alignment horizontal="center"/>
    </xf>
    <xf numFmtId="2" fontId="14" fillId="0" borderId="145" xfId="0" applyNumberFormat="1" applyFont="1" applyBorder="1" applyAlignment="1">
      <alignment horizontal="center"/>
    </xf>
    <xf numFmtId="2" fontId="14" fillId="0" borderId="52" xfId="0" applyNumberFormat="1" applyFont="1" applyBorder="1" applyAlignment="1">
      <alignment horizontal="center"/>
    </xf>
    <xf numFmtId="2" fontId="14" fillId="0" borderId="83" xfId="0" applyNumberFormat="1" applyFont="1" applyBorder="1" applyAlignment="1">
      <alignment horizontal="center"/>
    </xf>
    <xf numFmtId="2" fontId="14" fillId="0" borderId="167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2" fontId="14" fillId="0" borderId="78" xfId="0" applyNumberFormat="1" applyFont="1" applyBorder="1" applyAlignment="1">
      <alignment horizontal="center"/>
    </xf>
    <xf numFmtId="2" fontId="14" fillId="0" borderId="5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0" fontId="9" fillId="2" borderId="162" xfId="0" applyFont="1" applyFill="1" applyBorder="1" applyAlignment="1">
      <alignment horizontal="center" wrapText="1"/>
    </xf>
    <xf numFmtId="0" fontId="9" fillId="2" borderId="78" xfId="0" applyFont="1" applyFill="1" applyBorder="1" applyAlignment="1">
      <alignment horizontal="center" wrapText="1"/>
    </xf>
    <xf numFmtId="0" fontId="30" fillId="0" borderId="0" xfId="0" applyFont="1" applyAlignment="1">
      <alignment vertical="center"/>
    </xf>
    <xf numFmtId="0" fontId="15" fillId="0" borderId="0" xfId="0" applyFont="1" applyAlignment="1">
      <alignment horizontal="center"/>
    </xf>
  </cellXfs>
  <cellStyles count="4">
    <cellStyle name="Hiperłącze" xfId="3" builtinId="8"/>
    <cellStyle name="Normalny" xfId="0" builtinId="0"/>
    <cellStyle name="Normalny 2" xfId="1" xr:uid="{00000000-0005-0000-0000-000002000000}"/>
    <cellStyle name="Walutowy" xfId="2" builtinId="4"/>
  </cellStyles>
  <dxfs count="0"/>
  <tableStyles count="0" defaultTableStyle="TableStyleMedium9" defaultPivotStyle="PivotStyleLight16"/>
  <colors>
    <mruColors>
      <color rgb="FF0066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68432</xdr:colOff>
      <xdr:row>4</xdr:row>
      <xdr:rowOff>69978</xdr:rowOff>
    </xdr:from>
    <xdr:to>
      <xdr:col>8</xdr:col>
      <xdr:colOff>216538</xdr:colOff>
      <xdr:row>17</xdr:row>
      <xdr:rowOff>33903</xdr:rowOff>
    </xdr:to>
    <xdr:pic>
      <xdr:nvPicPr>
        <xdr:cNvPr id="4" name="Picture 18" descr="HH09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7232" y="717678"/>
          <a:ext cx="3196106" cy="2088000"/>
        </a:xfrm>
        <a:prstGeom prst="rect">
          <a:avLst/>
        </a:prstGeom>
        <a:noFill/>
        <a:effectLst>
          <a:outerShdw blurRad="368300" dist="50800" dir="5400000" sx="105000" sy="105000" algn="ctr" rotWithShape="0">
            <a:srgbClr val="000000"/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</xdr:pic>
    <xdr:clientData/>
  </xdr:twoCellAnchor>
  <xdr:twoCellAnchor editAs="oneCell">
    <xdr:from>
      <xdr:col>1</xdr:col>
      <xdr:colOff>542925</xdr:colOff>
      <xdr:row>35</xdr:row>
      <xdr:rowOff>80323</xdr:rowOff>
    </xdr:from>
    <xdr:to>
      <xdr:col>6</xdr:col>
      <xdr:colOff>588384</xdr:colOff>
      <xdr:row>48</xdr:row>
      <xdr:rowOff>99298</xdr:rowOff>
    </xdr:to>
    <xdr:pic>
      <xdr:nvPicPr>
        <xdr:cNvPr id="7" name="Picture 21" descr="HH10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" y="5766748"/>
          <a:ext cx="3093459" cy="2124000"/>
        </a:xfrm>
        <a:prstGeom prst="rect">
          <a:avLst/>
        </a:prstGeom>
        <a:noFill/>
        <a:effectLst>
          <a:outerShdw blurRad="368300" dist="50800" dir="5400000" sx="105000" sy="105000" algn="ctr" rotWithShape="0">
            <a:srgbClr val="000000"/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</xdr:pic>
    <xdr:clientData/>
  </xdr:twoCellAnchor>
  <xdr:twoCellAnchor editAs="oneCell">
    <xdr:from>
      <xdr:col>5</xdr:col>
      <xdr:colOff>114301</xdr:colOff>
      <xdr:row>14</xdr:row>
      <xdr:rowOff>161924</xdr:rowOff>
    </xdr:from>
    <xdr:to>
      <xdr:col>10</xdr:col>
      <xdr:colOff>210188</xdr:colOff>
      <xdr:row>27</xdr:row>
      <xdr:rowOff>125849</xdr:rowOff>
    </xdr:to>
    <xdr:pic>
      <xdr:nvPicPr>
        <xdr:cNvPr id="8" name="Picture 22" descr="HH08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62301" y="2428874"/>
          <a:ext cx="3143887" cy="2088000"/>
        </a:xfrm>
        <a:prstGeom prst="rect">
          <a:avLst/>
        </a:prstGeom>
        <a:noFill/>
        <a:effectLst>
          <a:outerShdw blurRad="368300" dir="5400000" sx="105000" sy="105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>
          <a:bevelT w="114300" prst="artDeco"/>
          <a:extrusionClr>
            <a:schemeClr val="accent2">
              <a:lumMod val="60000"/>
              <a:lumOff val="40000"/>
            </a:schemeClr>
          </a:extrusionClr>
        </a:sp3d>
      </xdr:spPr>
    </xdr:pic>
    <xdr:clientData/>
  </xdr:twoCellAnchor>
  <xdr:oneCellAnchor>
    <xdr:from>
      <xdr:col>0</xdr:col>
      <xdr:colOff>0</xdr:colOff>
      <xdr:row>58</xdr:row>
      <xdr:rowOff>133350</xdr:rowOff>
    </xdr:from>
    <xdr:ext cx="3290388" cy="4824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9544050"/>
          <a:ext cx="3290388" cy="4824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l-PL" sz="1600">
              <a:latin typeface="Arial" pitchFamily="34" charset="0"/>
              <a:cs typeface="Arial" pitchFamily="34" charset="0"/>
            </a:rPr>
            <a:t>   Cennik Handlowy</a:t>
          </a:r>
          <a:r>
            <a:rPr lang="pl-PL" sz="1600" baseline="0">
              <a:latin typeface="Arial" pitchFamily="34" charset="0"/>
              <a:cs typeface="Arial" pitchFamily="34" charset="0"/>
            </a:rPr>
            <a:t> - Luty </a:t>
          </a:r>
          <a:r>
            <a:rPr lang="pl-PL" sz="2000" baseline="0"/>
            <a:t>2011r.</a:t>
          </a:r>
        </a:p>
        <a:p>
          <a:endParaRPr lang="pl-PL" sz="1100"/>
        </a:p>
      </xdr:txBody>
    </xdr:sp>
    <xdr:clientData/>
  </xdr:oneCellAnchor>
  <xdr:twoCellAnchor editAs="oneCell">
    <xdr:from>
      <xdr:col>4</xdr:col>
      <xdr:colOff>19050</xdr:colOff>
      <xdr:row>25</xdr:row>
      <xdr:rowOff>66675</xdr:rowOff>
    </xdr:from>
    <xdr:to>
      <xdr:col>9</xdr:col>
      <xdr:colOff>160238</xdr:colOff>
      <xdr:row>38</xdr:row>
      <xdr:rowOff>85650</xdr:rowOff>
    </xdr:to>
    <xdr:pic>
      <xdr:nvPicPr>
        <xdr:cNvPr id="15" name="Obraz 14" descr="Kopia New Image 2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57450" y="4133850"/>
          <a:ext cx="3189188" cy="2124000"/>
        </a:xfrm>
        <a:prstGeom prst="rect">
          <a:avLst/>
        </a:prstGeom>
        <a:effectLst>
          <a:outerShdw blurRad="368300" dist="50800" dir="5400000" sx="105000" sy="105000" algn="ctr" rotWithShape="0">
            <a:srgbClr val="000000"/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</xdr:pic>
    <xdr:clientData/>
  </xdr:twoCellAnchor>
  <xdr:twoCellAnchor editAs="oneCell">
    <xdr:from>
      <xdr:col>0</xdr:col>
      <xdr:colOff>342903</xdr:colOff>
      <xdr:row>16</xdr:row>
      <xdr:rowOff>65684</xdr:rowOff>
    </xdr:from>
    <xdr:to>
      <xdr:col>5</xdr:col>
      <xdr:colOff>430038</xdr:colOff>
      <xdr:row>29</xdr:row>
      <xdr:rowOff>29609</xdr:rowOff>
    </xdr:to>
    <xdr:pic>
      <xdr:nvPicPr>
        <xdr:cNvPr id="16" name="Obraz 15" descr="Kopia HH105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42903" y="2656484"/>
          <a:ext cx="3135135" cy="2088000"/>
        </a:xfrm>
        <a:prstGeom prst="rect">
          <a:avLst/>
        </a:prstGeom>
        <a:effectLst>
          <a:outerShdw blurRad="368300" dist="50800" dir="5400000" sx="105000" sy="105000" algn="ctr" rotWithShape="0">
            <a:srgbClr val="000000"/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</xdr:pic>
    <xdr:clientData/>
  </xdr:twoCellAnchor>
  <xdr:twoCellAnchor editAs="oneCell">
    <xdr:from>
      <xdr:col>0</xdr:col>
      <xdr:colOff>190500</xdr:colOff>
      <xdr:row>61</xdr:row>
      <xdr:rowOff>123825</xdr:rowOff>
    </xdr:from>
    <xdr:to>
      <xdr:col>8</xdr:col>
      <xdr:colOff>590550</xdr:colOff>
      <xdr:row>64</xdr:row>
      <xdr:rowOff>133350</xdr:rowOff>
    </xdr:to>
    <xdr:pic>
      <xdr:nvPicPr>
        <xdr:cNvPr id="11" name="Picture 1" descr="HH_green_band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10020300"/>
          <a:ext cx="52768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145806</xdr:rowOff>
    </xdr:from>
    <xdr:to>
      <xdr:col>10</xdr:col>
      <xdr:colOff>276225</xdr:colOff>
      <xdr:row>54</xdr:row>
      <xdr:rowOff>155331</xdr:rowOff>
    </xdr:to>
    <xdr:pic>
      <xdr:nvPicPr>
        <xdr:cNvPr id="17502" name="Picture 1" descr="HH_green_band">
          <a:extLst>
            <a:ext uri="{FF2B5EF4-FFF2-40B4-BE49-F238E27FC236}">
              <a16:creationId xmlns:a16="http://schemas.microsoft.com/office/drawing/2014/main" id="{00000000-0008-0000-0100-00005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51631"/>
          <a:ext cx="52768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135548</xdr:rowOff>
    </xdr:from>
    <xdr:to>
      <xdr:col>10</xdr:col>
      <xdr:colOff>342900</xdr:colOff>
      <xdr:row>54</xdr:row>
      <xdr:rowOff>154598</xdr:rowOff>
    </xdr:to>
    <xdr:pic>
      <xdr:nvPicPr>
        <xdr:cNvPr id="18526" name="Picture 1" descr="HH_green_band">
          <a:extLst>
            <a:ext uri="{FF2B5EF4-FFF2-40B4-BE49-F238E27FC236}">
              <a16:creationId xmlns:a16="http://schemas.microsoft.com/office/drawing/2014/main" id="{00000000-0008-0000-0200-00005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36598"/>
          <a:ext cx="527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0</xdr:row>
      <xdr:rowOff>9526</xdr:rowOff>
    </xdr:from>
    <xdr:to>
      <xdr:col>20</xdr:col>
      <xdr:colOff>47626</xdr:colOff>
      <xdr:row>2</xdr:row>
      <xdr:rowOff>136235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52318A1-4BD5-D0C4-EF33-B4E2C948A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675" y="9526"/>
          <a:ext cx="1104901" cy="4600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71</xdr:row>
      <xdr:rowOff>29308</xdr:rowOff>
    </xdr:from>
    <xdr:to>
      <xdr:col>7</xdr:col>
      <xdr:colOff>285750</xdr:colOff>
      <xdr:row>74</xdr:row>
      <xdr:rowOff>38833</xdr:rowOff>
    </xdr:to>
    <xdr:pic>
      <xdr:nvPicPr>
        <xdr:cNvPr id="19550" name="Picture 1" descr="HH_green_band">
          <a:extLst>
            <a:ext uri="{FF2B5EF4-FFF2-40B4-BE49-F238E27FC236}">
              <a16:creationId xmlns:a16="http://schemas.microsoft.com/office/drawing/2014/main" id="{00000000-0008-0000-0400-00005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506808"/>
          <a:ext cx="52768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72737</xdr:rowOff>
    </xdr:from>
    <xdr:to>
      <xdr:col>33</xdr:col>
      <xdr:colOff>74469</xdr:colOff>
      <xdr:row>61</xdr:row>
      <xdr:rowOff>134217</xdr:rowOff>
    </xdr:to>
    <xdr:pic>
      <xdr:nvPicPr>
        <xdr:cNvPr id="20574" name="Picture 1" descr="HH_green_band">
          <a:extLst>
            <a:ext uri="{FF2B5EF4-FFF2-40B4-BE49-F238E27FC236}">
              <a16:creationId xmlns:a16="http://schemas.microsoft.com/office/drawing/2014/main" id="{00000000-0008-0000-0500-00005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49146"/>
          <a:ext cx="5356514" cy="503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28575</xdr:rowOff>
    </xdr:from>
    <xdr:to>
      <xdr:col>16</xdr:col>
      <xdr:colOff>561975</xdr:colOff>
      <xdr:row>58</xdr:row>
      <xdr:rowOff>66675</xdr:rowOff>
    </xdr:to>
    <xdr:pic>
      <xdr:nvPicPr>
        <xdr:cNvPr id="13612" name="Picture 1">
          <a:extLst>
            <a:ext uri="{FF2B5EF4-FFF2-40B4-BE49-F238E27FC236}">
              <a16:creationId xmlns:a16="http://schemas.microsoft.com/office/drawing/2014/main" id="{00000000-0008-0000-0600-00002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201525"/>
          <a:ext cx="77628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171450</xdr:rowOff>
    </xdr:from>
    <xdr:to>
      <xdr:col>15</xdr:col>
      <xdr:colOff>323850</xdr:colOff>
      <xdr:row>44</xdr:row>
      <xdr:rowOff>0</xdr:rowOff>
    </xdr:to>
    <xdr:pic>
      <xdr:nvPicPr>
        <xdr:cNvPr id="13613" name="Obraz 4" descr="Nowy obraz.JPG">
          <a:extLst>
            <a:ext uri="{FF2B5EF4-FFF2-40B4-BE49-F238E27FC236}">
              <a16:creationId xmlns:a16="http://schemas.microsoft.com/office/drawing/2014/main" id="{00000000-0008-0000-0600-00002D3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800850"/>
          <a:ext cx="696277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66</xdr:row>
      <xdr:rowOff>47625</xdr:rowOff>
    </xdr:from>
    <xdr:to>
      <xdr:col>14</xdr:col>
      <xdr:colOff>104775</xdr:colOff>
      <xdr:row>70</xdr:row>
      <xdr:rowOff>152400</xdr:rowOff>
    </xdr:to>
    <xdr:pic>
      <xdr:nvPicPr>
        <xdr:cNvPr id="6445" name="Picture 1" descr="H+H">
          <a:extLst>
            <a:ext uri="{FF2B5EF4-FFF2-40B4-BE49-F238E27FC236}">
              <a16:creationId xmlns:a16="http://schemas.microsoft.com/office/drawing/2014/main" id="{00000000-0008-0000-0700-00002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13049250"/>
          <a:ext cx="16478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152400</xdr:colOff>
      <xdr:row>1</xdr:row>
      <xdr:rowOff>0</xdr:rowOff>
    </xdr:from>
    <xdr:to>
      <xdr:col>14</xdr:col>
      <xdr:colOff>257175</xdr:colOff>
      <xdr:row>4</xdr:row>
      <xdr:rowOff>19050</xdr:rowOff>
    </xdr:to>
    <xdr:pic>
      <xdr:nvPicPr>
        <xdr:cNvPr id="6446" name="Picture 2" descr="H+H">
          <a:extLst>
            <a:ext uri="{FF2B5EF4-FFF2-40B4-BE49-F238E27FC236}">
              <a16:creationId xmlns:a16="http://schemas.microsoft.com/office/drawing/2014/main" id="{00000000-0008-0000-0700-00002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90500"/>
          <a:ext cx="16478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2</xdr:row>
      <xdr:rowOff>0</xdr:rowOff>
    </xdr:from>
    <xdr:to>
      <xdr:col>14</xdr:col>
      <xdr:colOff>628650</xdr:colOff>
      <xdr:row>5</xdr:row>
      <xdr:rowOff>85725</xdr:rowOff>
    </xdr:to>
    <xdr:pic>
      <xdr:nvPicPr>
        <xdr:cNvPr id="3379" name="Picture 7" descr="H+H">
          <a:extLst>
            <a:ext uri="{FF2B5EF4-FFF2-40B4-BE49-F238E27FC236}">
              <a16:creationId xmlns:a16="http://schemas.microsoft.com/office/drawing/2014/main" id="{00000000-0008-0000-08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381000"/>
          <a:ext cx="16478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142875</xdr:colOff>
      <xdr:row>57</xdr:row>
      <xdr:rowOff>9525</xdr:rowOff>
    </xdr:from>
    <xdr:to>
      <xdr:col>14</xdr:col>
      <xdr:colOff>628650</xdr:colOff>
      <xdr:row>59</xdr:row>
      <xdr:rowOff>38100</xdr:rowOff>
    </xdr:to>
    <xdr:pic>
      <xdr:nvPicPr>
        <xdr:cNvPr id="3380" name="Picture 8" descr="H+H">
          <a:extLst>
            <a:ext uri="{FF2B5EF4-FFF2-40B4-BE49-F238E27FC236}">
              <a16:creationId xmlns:a16="http://schemas.microsoft.com/office/drawing/2014/main" id="{00000000-0008-0000-08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11782425"/>
          <a:ext cx="16478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5:L29"/>
  <sheetViews>
    <sheetView topLeftCell="A10" workbookViewId="0">
      <selection activeCell="J7" sqref="J7"/>
    </sheetView>
  </sheetViews>
  <sheetFormatPr defaultColWidth="9.140625" defaultRowHeight="12.75" x14ac:dyDescent="0.2"/>
  <sheetData>
    <row r="5" spans="12:12" x14ac:dyDescent="0.2">
      <c r="L5" s="352"/>
    </row>
    <row r="17" spans="2:8" ht="14.25" customHeight="1" x14ac:dyDescent="0.2"/>
    <row r="25" spans="2:8" x14ac:dyDescent="0.2">
      <c r="B25" s="528"/>
      <c r="C25" s="528"/>
      <c r="D25" s="528"/>
      <c r="E25" s="528"/>
      <c r="F25" s="528"/>
      <c r="G25" s="528"/>
      <c r="H25" s="528"/>
    </row>
    <row r="26" spans="2:8" x14ac:dyDescent="0.2">
      <c r="B26" s="528"/>
      <c r="C26" s="528"/>
      <c r="D26" s="528"/>
      <c r="E26" s="528"/>
      <c r="F26" s="528"/>
      <c r="G26" s="528"/>
      <c r="H26" s="528"/>
    </row>
    <row r="27" spans="2:8" x14ac:dyDescent="0.2">
      <c r="B27" s="528"/>
      <c r="C27" s="528"/>
      <c r="D27" s="528"/>
      <c r="E27" s="528"/>
      <c r="F27" s="528"/>
      <c r="G27" s="528"/>
      <c r="H27" s="528"/>
    </row>
    <row r="28" spans="2:8" x14ac:dyDescent="0.2">
      <c r="B28" s="528"/>
      <c r="C28" s="528"/>
      <c r="D28" s="528"/>
      <c r="E28" s="528"/>
      <c r="F28" s="528"/>
      <c r="G28" s="528"/>
      <c r="H28" s="528"/>
    </row>
    <row r="29" spans="2:8" x14ac:dyDescent="0.2">
      <c r="B29" s="529"/>
      <c r="C29" s="529"/>
      <c r="D29" s="529"/>
      <c r="E29" s="529"/>
      <c r="F29" s="529"/>
      <c r="G29" s="529"/>
      <c r="H29" s="529"/>
    </row>
  </sheetData>
  <mergeCells count="1">
    <mergeCell ref="B25:H29"/>
  </mergeCells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Q50"/>
  <sheetViews>
    <sheetView showGridLines="0" topLeftCell="A31" zoomScaleNormal="100" workbookViewId="0">
      <selection activeCell="F33" sqref="F33:G33"/>
    </sheetView>
  </sheetViews>
  <sheetFormatPr defaultColWidth="9.140625" defaultRowHeight="12.75" x14ac:dyDescent="0.2"/>
  <cols>
    <col min="1" max="1" width="8" style="340" customWidth="1"/>
    <col min="2" max="2" width="2.140625" style="340" customWidth="1"/>
    <col min="3" max="3" width="7.140625" style="340" customWidth="1"/>
    <col min="4" max="5" width="9.7109375" style="340" customWidth="1"/>
    <col min="6" max="6" width="7.42578125" style="340" customWidth="1"/>
    <col min="7" max="7" width="6.28515625" style="340" customWidth="1"/>
    <col min="8" max="8" width="8.42578125" style="340" customWidth="1"/>
    <col min="9" max="9" width="8.42578125" style="340" bestFit="1" customWidth="1"/>
    <col min="10" max="10" width="7.7109375" style="340" customWidth="1"/>
    <col min="11" max="11" width="6.140625" style="340" customWidth="1"/>
    <col min="12" max="16384" width="9.140625" style="340"/>
  </cols>
  <sheetData>
    <row r="1" spans="1:14" x14ac:dyDescent="0.2">
      <c r="A1" s="1" t="s">
        <v>240</v>
      </c>
      <c r="B1" s="1"/>
      <c r="C1" s="1"/>
      <c r="D1" s="1"/>
      <c r="E1" s="1"/>
    </row>
    <row r="2" spans="1:14" s="1" customFormat="1" x14ac:dyDescent="0.2"/>
    <row r="3" spans="1:14" x14ac:dyDescent="0.2">
      <c r="A3" s="1"/>
      <c r="B3" s="1"/>
      <c r="C3" s="1"/>
      <c r="D3" s="1"/>
      <c r="E3" s="1"/>
      <c r="F3" s="357"/>
      <c r="G3" s="357"/>
      <c r="H3" s="357"/>
      <c r="I3" s="357"/>
      <c r="J3" s="357"/>
      <c r="K3" s="357"/>
    </row>
    <row r="4" spans="1:14" x14ac:dyDescent="0.2">
      <c r="A4" s="1"/>
      <c r="B4" s="1"/>
      <c r="C4" s="1"/>
      <c r="D4" s="1"/>
      <c r="E4" s="1"/>
    </row>
    <row r="5" spans="1:14" ht="12.75" customHeight="1" x14ac:dyDescent="0.2">
      <c r="A5" s="542" t="s">
        <v>128</v>
      </c>
      <c r="B5" s="542"/>
      <c r="C5" s="542"/>
      <c r="D5" s="542"/>
      <c r="E5" s="542"/>
      <c r="F5" s="540" t="s">
        <v>199</v>
      </c>
      <c r="G5" s="540"/>
      <c r="H5" s="383"/>
      <c r="I5" s="540" t="s">
        <v>51</v>
      </c>
      <c r="J5" s="540"/>
      <c r="K5" s="384"/>
    </row>
    <row r="6" spans="1:14" x14ac:dyDescent="0.2">
      <c r="A6" s="542" t="s">
        <v>129</v>
      </c>
      <c r="B6" s="542"/>
      <c r="C6" s="542"/>
      <c r="D6" s="542"/>
      <c r="E6" s="542"/>
      <c r="F6" s="385">
        <v>500</v>
      </c>
      <c r="G6" s="385">
        <v>600</v>
      </c>
      <c r="H6" s="386">
        <v>400</v>
      </c>
      <c r="I6" s="385">
        <v>500</v>
      </c>
      <c r="J6" s="385">
        <v>600</v>
      </c>
      <c r="K6" s="387">
        <v>700</v>
      </c>
    </row>
    <row r="7" spans="1:14" ht="11.25" customHeight="1" x14ac:dyDescent="0.2"/>
    <row r="8" spans="1:14" ht="11.25" customHeight="1" x14ac:dyDescent="0.2">
      <c r="A8" s="543" t="s">
        <v>241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353"/>
    </row>
    <row r="9" spans="1:14" x14ac:dyDescent="0.2">
      <c r="A9" s="358" t="s">
        <v>219</v>
      </c>
    </row>
    <row r="10" spans="1:14" x14ac:dyDescent="0.2">
      <c r="A10" s="343" t="s">
        <v>220</v>
      </c>
      <c r="B10" s="344"/>
      <c r="C10" s="344"/>
      <c r="D10" s="344"/>
      <c r="E10" s="344"/>
      <c r="F10" s="343"/>
      <c r="G10" s="343"/>
      <c r="H10" s="343"/>
      <c r="I10" s="343"/>
      <c r="J10" s="343"/>
      <c r="K10" s="343"/>
    </row>
    <row r="11" spans="1:14" x14ac:dyDescent="0.2">
      <c r="A11" s="348" t="s">
        <v>242</v>
      </c>
      <c r="B11" s="344"/>
      <c r="C11" s="344"/>
      <c r="D11" s="344"/>
      <c r="E11" s="344"/>
      <c r="F11" s="343"/>
      <c r="G11" s="343"/>
      <c r="H11" s="343"/>
      <c r="I11" s="343"/>
      <c r="J11" s="343"/>
      <c r="K11" s="343"/>
    </row>
    <row r="12" spans="1:14" s="380" customFormat="1" ht="12.75" customHeight="1" x14ac:dyDescent="0.2">
      <c r="A12" s="541" t="s">
        <v>162</v>
      </c>
      <c r="B12" s="541"/>
      <c r="C12" s="541"/>
      <c r="D12" s="388" t="s">
        <v>163</v>
      </c>
      <c r="E12" s="388" t="s">
        <v>161</v>
      </c>
      <c r="F12" s="534" t="s">
        <v>229</v>
      </c>
      <c r="G12" s="534"/>
      <c r="H12" s="534"/>
      <c r="I12" s="534"/>
      <c r="J12" s="534"/>
      <c r="K12" s="534"/>
      <c r="M12" s="380" t="s">
        <v>52</v>
      </c>
      <c r="N12" s="380" t="s">
        <v>253</v>
      </c>
    </row>
    <row r="13" spans="1:14" ht="12.75" customHeight="1" x14ac:dyDescent="0.2">
      <c r="A13" s="539" t="s">
        <v>192</v>
      </c>
      <c r="B13" s="539"/>
      <c r="C13" s="539"/>
      <c r="D13" s="535" t="s">
        <v>135</v>
      </c>
      <c r="E13" s="535" t="s">
        <v>164</v>
      </c>
      <c r="F13" s="536">
        <v>228</v>
      </c>
      <c r="G13" s="536"/>
      <c r="H13" s="537" t="s">
        <v>127</v>
      </c>
      <c r="I13" s="536">
        <v>235</v>
      </c>
      <c r="J13" s="536"/>
      <c r="K13" s="530" t="s">
        <v>165</v>
      </c>
      <c r="L13" s="401" t="s">
        <v>257</v>
      </c>
      <c r="M13" s="346">
        <v>148</v>
      </c>
      <c r="N13" s="346">
        <v>153</v>
      </c>
    </row>
    <row r="14" spans="1:14" ht="12.75" customHeight="1" x14ac:dyDescent="0.2">
      <c r="A14" s="539" t="s">
        <v>193</v>
      </c>
      <c r="B14" s="539"/>
      <c r="C14" s="539"/>
      <c r="D14" s="535"/>
      <c r="E14" s="535"/>
      <c r="F14" s="536">
        <v>228</v>
      </c>
      <c r="G14" s="536"/>
      <c r="H14" s="537"/>
      <c r="I14" s="536">
        <v>235</v>
      </c>
      <c r="J14" s="536"/>
      <c r="K14" s="530"/>
      <c r="L14" s="401" t="s">
        <v>256</v>
      </c>
      <c r="M14" s="544" t="s">
        <v>254</v>
      </c>
      <c r="N14" s="545"/>
    </row>
    <row r="15" spans="1:14" ht="12.75" customHeight="1" x14ac:dyDescent="0.2">
      <c r="A15" s="539" t="s">
        <v>194</v>
      </c>
      <c r="B15" s="539"/>
      <c r="C15" s="539"/>
      <c r="D15" s="535"/>
      <c r="E15" s="535"/>
      <c r="F15" s="536">
        <v>228</v>
      </c>
      <c r="G15" s="536"/>
      <c r="H15" s="537"/>
      <c r="I15" s="536">
        <v>235</v>
      </c>
      <c r="J15" s="536"/>
      <c r="K15" s="530"/>
    </row>
    <row r="16" spans="1:14" ht="12.75" customHeight="1" x14ac:dyDescent="0.2">
      <c r="A16" s="539" t="s">
        <v>134</v>
      </c>
      <c r="B16" s="539"/>
      <c r="C16" s="539"/>
      <c r="D16" s="535"/>
      <c r="E16" s="535"/>
      <c r="F16" s="536">
        <v>228</v>
      </c>
      <c r="G16" s="536"/>
      <c r="H16" s="537"/>
      <c r="I16" s="536">
        <v>235</v>
      </c>
      <c r="J16" s="536"/>
      <c r="K16" s="530"/>
    </row>
    <row r="17" spans="1:13" ht="12.75" customHeight="1" x14ac:dyDescent="0.2">
      <c r="A17" s="539" t="s">
        <v>135</v>
      </c>
      <c r="B17" s="539"/>
      <c r="C17" s="539"/>
      <c r="D17" s="535"/>
      <c r="E17" s="535"/>
      <c r="F17" s="536">
        <v>228</v>
      </c>
      <c r="G17" s="536"/>
      <c r="H17" s="537"/>
      <c r="I17" s="536">
        <v>235</v>
      </c>
      <c r="J17" s="536"/>
      <c r="K17" s="530"/>
    </row>
    <row r="18" spans="1:13" ht="12.75" customHeight="1" x14ac:dyDescent="0.2">
      <c r="A18" s="539" t="s">
        <v>136</v>
      </c>
      <c r="B18" s="539"/>
      <c r="C18" s="539"/>
      <c r="D18" s="535"/>
      <c r="E18" s="535"/>
      <c r="F18" s="536">
        <v>228</v>
      </c>
      <c r="G18" s="536"/>
      <c r="H18" s="537"/>
      <c r="I18" s="536">
        <v>235</v>
      </c>
      <c r="J18" s="536"/>
      <c r="K18" s="530"/>
    </row>
    <row r="19" spans="1:13" ht="11.25" customHeight="1" x14ac:dyDescent="0.2">
      <c r="A19" s="539" t="s">
        <v>208</v>
      </c>
      <c r="B19" s="539"/>
      <c r="C19" s="539"/>
      <c r="D19" s="535"/>
      <c r="E19" s="535"/>
      <c r="F19" s="546" t="s">
        <v>165</v>
      </c>
      <c r="G19" s="546"/>
      <c r="H19" s="546"/>
      <c r="I19" s="546"/>
      <c r="J19" s="546"/>
      <c r="K19" s="530"/>
    </row>
    <row r="20" spans="1:13" ht="11.25" customHeight="1" x14ac:dyDescent="0.2">
      <c r="B20" s="341"/>
      <c r="C20" s="341"/>
      <c r="D20" s="341"/>
      <c r="E20" s="339"/>
      <c r="F20" s="339"/>
      <c r="G20" s="339"/>
      <c r="H20" s="339"/>
      <c r="I20" s="339"/>
      <c r="J20" s="339"/>
      <c r="K20" s="339"/>
    </row>
    <row r="21" spans="1:13" x14ac:dyDescent="0.2">
      <c r="A21" s="348"/>
      <c r="B21" s="339"/>
      <c r="C21" s="339"/>
      <c r="D21" s="339"/>
      <c r="E21" s="339"/>
      <c r="F21" s="339"/>
      <c r="G21" s="339"/>
      <c r="H21" s="339"/>
      <c r="I21" s="339"/>
      <c r="J21" s="339"/>
      <c r="K21" s="339"/>
    </row>
    <row r="22" spans="1:13" ht="12.75" customHeight="1" x14ac:dyDescent="0.2">
      <c r="A22" s="343" t="s">
        <v>221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</row>
    <row r="23" spans="1:13" ht="11.25" customHeight="1" x14ac:dyDescent="0.2">
      <c r="A23" s="533" t="s">
        <v>162</v>
      </c>
      <c r="B23" s="533"/>
      <c r="C23" s="533"/>
      <c r="D23" s="389" t="s">
        <v>163</v>
      </c>
      <c r="E23" s="389" t="s">
        <v>161</v>
      </c>
      <c r="F23" s="534" t="s">
        <v>229</v>
      </c>
      <c r="G23" s="534"/>
      <c r="H23" s="534"/>
      <c r="I23" s="534"/>
      <c r="J23" s="534"/>
      <c r="K23" s="534"/>
    </row>
    <row r="24" spans="1:13" ht="11.25" customHeight="1" x14ac:dyDescent="0.2">
      <c r="A24" s="535" t="s">
        <v>195</v>
      </c>
      <c r="B24" s="535"/>
      <c r="C24" s="535"/>
      <c r="D24" s="535" t="s">
        <v>135</v>
      </c>
      <c r="E24" s="535" t="s">
        <v>164</v>
      </c>
      <c r="F24" s="531" t="s">
        <v>127</v>
      </c>
      <c r="G24" s="531"/>
      <c r="H24" s="531" t="s">
        <v>127</v>
      </c>
      <c r="I24" s="537" t="s">
        <v>127</v>
      </c>
      <c r="J24" s="536">
        <v>274</v>
      </c>
      <c r="K24" s="531" t="s">
        <v>127</v>
      </c>
    </row>
    <row r="25" spans="1:13" ht="11.25" customHeight="1" x14ac:dyDescent="0.2">
      <c r="A25" s="535"/>
      <c r="B25" s="535"/>
      <c r="C25" s="535"/>
      <c r="D25" s="535"/>
      <c r="E25" s="535"/>
      <c r="F25" s="531"/>
      <c r="G25" s="531"/>
      <c r="H25" s="531"/>
      <c r="I25" s="537"/>
      <c r="J25" s="536"/>
      <c r="K25" s="531"/>
    </row>
    <row r="26" spans="1:13" ht="15" customHeight="1" x14ac:dyDescent="0.2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</row>
    <row r="27" spans="1:13" ht="12" customHeight="1" x14ac:dyDescent="0.2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</row>
    <row r="28" spans="1:13" ht="12.75" customHeight="1" x14ac:dyDescent="0.2">
      <c r="A28" s="343" t="s">
        <v>222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</row>
    <row r="29" spans="1:13" ht="12.75" customHeight="1" x14ac:dyDescent="0.2">
      <c r="A29" s="533" t="s">
        <v>162</v>
      </c>
      <c r="B29" s="533"/>
      <c r="C29" s="533"/>
      <c r="D29" s="389" t="s">
        <v>163</v>
      </c>
      <c r="E29" s="389" t="s">
        <v>161</v>
      </c>
      <c r="F29" s="534" t="s">
        <v>229</v>
      </c>
      <c r="G29" s="534"/>
      <c r="H29" s="534"/>
      <c r="I29" s="534"/>
      <c r="J29" s="534"/>
      <c r="K29" s="534"/>
    </row>
    <row r="30" spans="1:13" ht="12.75" customHeight="1" x14ac:dyDescent="0.2">
      <c r="A30" s="539" t="s">
        <v>131</v>
      </c>
      <c r="B30" s="539"/>
      <c r="C30" s="539"/>
      <c r="D30" s="535" t="s">
        <v>132</v>
      </c>
      <c r="E30" s="535" t="s">
        <v>130</v>
      </c>
      <c r="F30" s="531" t="s">
        <v>127</v>
      </c>
      <c r="G30" s="531"/>
      <c r="H30" s="530" t="s">
        <v>165</v>
      </c>
      <c r="I30" s="530" t="s">
        <v>165</v>
      </c>
      <c r="J30" s="390">
        <v>208</v>
      </c>
      <c r="K30" s="538" t="s">
        <v>127</v>
      </c>
      <c r="M30" s="346">
        <v>135</v>
      </c>
    </row>
    <row r="31" spans="1:13" ht="12.75" customHeight="1" x14ac:dyDescent="0.2">
      <c r="A31" s="539" t="s">
        <v>193</v>
      </c>
      <c r="B31" s="539"/>
      <c r="C31" s="539"/>
      <c r="D31" s="535"/>
      <c r="E31" s="535"/>
      <c r="F31" s="531" t="s">
        <v>127</v>
      </c>
      <c r="G31" s="531"/>
      <c r="H31" s="530"/>
      <c r="I31" s="530"/>
      <c r="J31" s="390">
        <v>208</v>
      </c>
      <c r="K31" s="538"/>
      <c r="L31" s="401" t="s">
        <v>256</v>
      </c>
      <c r="M31" s="399" t="s">
        <v>260</v>
      </c>
    </row>
    <row r="32" spans="1:13" ht="12.75" customHeight="1" x14ac:dyDescent="0.2">
      <c r="A32" s="539" t="s">
        <v>133</v>
      </c>
      <c r="B32" s="539"/>
      <c r="C32" s="539"/>
      <c r="D32" s="535"/>
      <c r="E32" s="535"/>
      <c r="F32" s="531" t="s">
        <v>127</v>
      </c>
      <c r="G32" s="531"/>
      <c r="H32" s="530"/>
      <c r="I32" s="530"/>
      <c r="J32" s="390">
        <v>208</v>
      </c>
      <c r="K32" s="538"/>
    </row>
    <row r="33" spans="1:17" ht="12.75" customHeight="1" x14ac:dyDescent="0.2">
      <c r="A33" s="539" t="s">
        <v>134</v>
      </c>
      <c r="B33" s="539"/>
      <c r="C33" s="539"/>
      <c r="D33" s="535"/>
      <c r="E33" s="535"/>
      <c r="F33" s="531" t="s">
        <v>127</v>
      </c>
      <c r="G33" s="531"/>
      <c r="H33" s="530"/>
      <c r="I33" s="530"/>
      <c r="J33" s="390">
        <v>208</v>
      </c>
      <c r="K33" s="538"/>
    </row>
    <row r="34" spans="1:17" ht="11.25" customHeight="1" x14ac:dyDescent="0.2">
      <c r="A34" s="539" t="s">
        <v>135</v>
      </c>
      <c r="B34" s="539"/>
      <c r="C34" s="539"/>
      <c r="D34" s="535"/>
      <c r="E34" s="535"/>
      <c r="F34" s="531" t="s">
        <v>127</v>
      </c>
      <c r="G34" s="531"/>
      <c r="H34" s="530"/>
      <c r="I34" s="530"/>
      <c r="J34" s="390">
        <v>208</v>
      </c>
      <c r="K34" s="538"/>
    </row>
    <row r="35" spans="1:17" x14ac:dyDescent="0.2">
      <c r="A35" s="539" t="s">
        <v>196</v>
      </c>
      <c r="B35" s="539"/>
      <c r="C35" s="539"/>
      <c r="D35" s="535"/>
      <c r="E35" s="535"/>
      <c r="F35" s="531" t="s">
        <v>127</v>
      </c>
      <c r="G35" s="531"/>
      <c r="H35" s="530"/>
      <c r="I35" s="530"/>
      <c r="J35" s="390">
        <v>208</v>
      </c>
      <c r="K35" s="538"/>
    </row>
    <row r="36" spans="1:17" ht="12.75" customHeight="1" x14ac:dyDescent="0.2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</row>
    <row r="37" spans="1:17" ht="12.75" customHeight="1" x14ac:dyDescent="0.2">
      <c r="A37" s="343" t="s">
        <v>223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</row>
    <row r="38" spans="1:17" ht="12.75" customHeight="1" x14ac:dyDescent="0.2">
      <c r="A38" s="533" t="s">
        <v>162</v>
      </c>
      <c r="B38" s="533"/>
      <c r="C38" s="533"/>
      <c r="D38" s="389" t="s">
        <v>163</v>
      </c>
      <c r="E38" s="389" t="s">
        <v>161</v>
      </c>
      <c r="F38" s="534" t="s">
        <v>230</v>
      </c>
      <c r="G38" s="534"/>
      <c r="H38" s="534"/>
      <c r="I38" s="534"/>
      <c r="J38" s="534"/>
      <c r="K38" s="534"/>
    </row>
    <row r="39" spans="1:17" ht="11.25" customHeight="1" x14ac:dyDescent="0.2">
      <c r="A39" s="535" t="s">
        <v>197</v>
      </c>
      <c r="B39" s="535"/>
      <c r="C39" s="535"/>
      <c r="D39" s="535" t="s">
        <v>198</v>
      </c>
      <c r="E39" s="535" t="s">
        <v>130</v>
      </c>
      <c r="F39" s="531" t="s">
        <v>127</v>
      </c>
      <c r="G39" s="531"/>
      <c r="H39" s="531" t="s">
        <v>127</v>
      </c>
      <c r="I39" s="537" t="s">
        <v>127</v>
      </c>
      <c r="J39" s="536">
        <v>246</v>
      </c>
      <c r="K39" s="531" t="s">
        <v>127</v>
      </c>
      <c r="M39" s="399" t="s">
        <v>261</v>
      </c>
    </row>
    <row r="40" spans="1:17" ht="27" customHeight="1" x14ac:dyDescent="0.2">
      <c r="A40" s="535"/>
      <c r="B40" s="535"/>
      <c r="C40" s="535"/>
      <c r="D40" s="535"/>
      <c r="E40" s="535"/>
      <c r="F40" s="531"/>
      <c r="G40" s="531"/>
      <c r="H40" s="531"/>
      <c r="I40" s="537"/>
      <c r="J40" s="536"/>
      <c r="K40" s="531"/>
      <c r="L40" s="401" t="s">
        <v>256</v>
      </c>
      <c r="M40" s="399" t="s">
        <v>260</v>
      </c>
    </row>
    <row r="41" spans="1:17" ht="14.25" customHeight="1" x14ac:dyDescent="0.2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</row>
    <row r="42" spans="1:17" ht="29.25" customHeight="1" x14ac:dyDescent="0.2">
      <c r="A42" s="532" t="s">
        <v>217</v>
      </c>
      <c r="B42" s="532"/>
      <c r="C42" s="532"/>
      <c r="D42" s="532"/>
      <c r="E42" s="532"/>
      <c r="F42" s="532"/>
      <c r="G42" s="532"/>
      <c r="H42" s="532"/>
      <c r="I42" s="532"/>
      <c r="J42" s="532"/>
      <c r="K42" s="532"/>
    </row>
    <row r="43" spans="1:17" x14ac:dyDescent="0.2">
      <c r="A43" s="532" t="s">
        <v>218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</row>
    <row r="44" spans="1:17" ht="12" customHeight="1" x14ac:dyDescent="0.2">
      <c r="A44" s="532" t="s">
        <v>215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</row>
    <row r="45" spans="1:17" x14ac:dyDescent="0.2">
      <c r="A45" s="339" t="s">
        <v>216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</row>
    <row r="46" spans="1:17" x14ac:dyDescent="0.2">
      <c r="A46" s="339" t="s">
        <v>166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M46" s="359"/>
      <c r="N46" s="359"/>
      <c r="O46" s="359"/>
      <c r="P46" s="359"/>
      <c r="Q46" s="359"/>
    </row>
    <row r="47" spans="1:17" x14ac:dyDescent="0.2">
      <c r="A47" s="360" t="s">
        <v>243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59"/>
    </row>
    <row r="48" spans="1:17" x14ac:dyDescent="0.2">
      <c r="A48" s="361" t="s">
        <v>244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</row>
    <row r="49" spans="1:11" x14ac:dyDescent="0.2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39"/>
    </row>
    <row r="50" spans="1:11" x14ac:dyDescent="0.2">
      <c r="A50" s="339" t="s">
        <v>249</v>
      </c>
      <c r="B50" s="339"/>
      <c r="C50" s="339"/>
      <c r="D50" s="353"/>
      <c r="E50" s="339"/>
      <c r="F50" s="339"/>
      <c r="G50" s="339"/>
      <c r="H50" s="339"/>
      <c r="I50" s="339"/>
      <c r="J50" s="362"/>
      <c r="K50" s="339"/>
    </row>
  </sheetData>
  <mergeCells count="74">
    <mergeCell ref="M14:N14"/>
    <mergeCell ref="F23:K23"/>
    <mergeCell ref="K24:K25"/>
    <mergeCell ref="F16:G16"/>
    <mergeCell ref="F17:G17"/>
    <mergeCell ref="F18:G18"/>
    <mergeCell ref="I16:J16"/>
    <mergeCell ref="I17:J17"/>
    <mergeCell ref="I18:J18"/>
    <mergeCell ref="H13:H18"/>
    <mergeCell ref="F19:J19"/>
    <mergeCell ref="I13:J13"/>
    <mergeCell ref="I14:J14"/>
    <mergeCell ref="I15:J15"/>
    <mergeCell ref="I24:I25"/>
    <mergeCell ref="J24:J25"/>
    <mergeCell ref="F5:G5"/>
    <mergeCell ref="I5:J5"/>
    <mergeCell ref="A12:C12"/>
    <mergeCell ref="A13:C13"/>
    <mergeCell ref="A5:E5"/>
    <mergeCell ref="A6:E6"/>
    <mergeCell ref="D13:D19"/>
    <mergeCell ref="E13:E19"/>
    <mergeCell ref="A17:C17"/>
    <mergeCell ref="A18:C18"/>
    <mergeCell ref="A19:C19"/>
    <mergeCell ref="F12:K12"/>
    <mergeCell ref="F13:G13"/>
    <mergeCell ref="F14:G14"/>
    <mergeCell ref="F15:G15"/>
    <mergeCell ref="A8:K8"/>
    <mergeCell ref="F29:K29"/>
    <mergeCell ref="E24:E25"/>
    <mergeCell ref="A24:C25"/>
    <mergeCell ref="D24:D25"/>
    <mergeCell ref="F24:G25"/>
    <mergeCell ref="H24:H25"/>
    <mergeCell ref="A14:C14"/>
    <mergeCell ref="A15:C15"/>
    <mergeCell ref="A16:C16"/>
    <mergeCell ref="A23:C23"/>
    <mergeCell ref="D30:D35"/>
    <mergeCell ref="A34:C34"/>
    <mergeCell ref="A29:C29"/>
    <mergeCell ref="F34:G34"/>
    <mergeCell ref="A35:C35"/>
    <mergeCell ref="F35:G35"/>
    <mergeCell ref="I30:I35"/>
    <mergeCell ref="E30:E35"/>
    <mergeCell ref="A30:C30"/>
    <mergeCell ref="H30:H35"/>
    <mergeCell ref="A31:C31"/>
    <mergeCell ref="F31:G31"/>
    <mergeCell ref="A32:C32"/>
    <mergeCell ref="F32:G32"/>
    <mergeCell ref="A33:C33"/>
    <mergeCell ref="F33:G33"/>
    <mergeCell ref="K13:K19"/>
    <mergeCell ref="H39:H40"/>
    <mergeCell ref="A44:K44"/>
    <mergeCell ref="A42:K42"/>
    <mergeCell ref="A38:C38"/>
    <mergeCell ref="F38:K38"/>
    <mergeCell ref="E39:E40"/>
    <mergeCell ref="A39:C40"/>
    <mergeCell ref="D39:D40"/>
    <mergeCell ref="F39:G40"/>
    <mergeCell ref="A43:K43"/>
    <mergeCell ref="K39:K40"/>
    <mergeCell ref="J39:J40"/>
    <mergeCell ref="I39:I40"/>
    <mergeCell ref="F30:G30"/>
    <mergeCell ref="K30:K3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&amp;CStrona 1 z 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R48"/>
  <sheetViews>
    <sheetView showGridLines="0" zoomScaleNormal="100" workbookViewId="0">
      <selection activeCell="O17" sqref="O17"/>
    </sheetView>
  </sheetViews>
  <sheetFormatPr defaultColWidth="9.140625" defaultRowHeight="12.75" x14ac:dyDescent="0.2"/>
  <cols>
    <col min="1" max="1" width="8" style="340" customWidth="1"/>
    <col min="2" max="2" width="2.140625" style="340" customWidth="1"/>
    <col min="3" max="3" width="4.5703125" style="340" customWidth="1"/>
    <col min="4" max="4" width="8" style="340" customWidth="1"/>
    <col min="5" max="5" width="9.7109375" style="346" customWidth="1"/>
    <col min="6" max="6" width="7.28515625" style="346" customWidth="1"/>
    <col min="7" max="7" width="7.42578125" style="340" customWidth="1"/>
    <col min="8" max="8" width="9.7109375" style="340" bestFit="1" customWidth="1"/>
    <col min="9" max="9" width="8.7109375" style="340" customWidth="1"/>
    <col min="10" max="10" width="8.42578125" style="340" bestFit="1" customWidth="1"/>
    <col min="11" max="11" width="5.7109375" style="340" bestFit="1" customWidth="1"/>
    <col min="12" max="12" width="6.140625" style="340" customWidth="1"/>
    <col min="13" max="16384" width="9.140625" style="340"/>
  </cols>
  <sheetData>
    <row r="1" spans="1:14" s="1" customFormat="1" x14ac:dyDescent="0.2">
      <c r="A1" s="1" t="s">
        <v>245</v>
      </c>
      <c r="E1" s="363"/>
      <c r="F1" s="363"/>
    </row>
    <row r="2" spans="1:14" x14ac:dyDescent="0.2">
      <c r="A2" s="357"/>
      <c r="B2" s="357"/>
      <c r="C2" s="357"/>
      <c r="D2" s="357"/>
      <c r="E2" s="364"/>
      <c r="F2" s="364"/>
      <c r="G2" s="357"/>
      <c r="H2" s="357"/>
      <c r="I2" s="357"/>
      <c r="J2" s="357"/>
      <c r="K2" s="357"/>
      <c r="L2" s="357"/>
    </row>
    <row r="3" spans="1:14" x14ac:dyDescent="0.2">
      <c r="A3" s="1"/>
      <c r="B3" s="1"/>
      <c r="C3" s="1"/>
      <c r="D3" s="1"/>
      <c r="E3" s="363"/>
      <c r="F3" s="363"/>
      <c r="G3" s="1"/>
    </row>
    <row r="4" spans="1:14" x14ac:dyDescent="0.2">
      <c r="A4" s="1"/>
      <c r="B4" s="1"/>
      <c r="C4" s="1"/>
      <c r="D4" s="1"/>
      <c r="E4" s="363"/>
      <c r="F4" s="363"/>
      <c r="G4" s="1"/>
    </row>
    <row r="5" spans="1:14" s="380" customFormat="1" ht="12.75" customHeight="1" x14ac:dyDescent="0.2">
      <c r="A5" s="559" t="s">
        <v>128</v>
      </c>
      <c r="B5" s="559"/>
      <c r="C5" s="559"/>
      <c r="D5" s="559"/>
      <c r="E5" s="559"/>
      <c r="F5" s="384" t="s">
        <v>209</v>
      </c>
      <c r="G5" s="384" t="s">
        <v>210</v>
      </c>
      <c r="H5" s="391" t="s">
        <v>167</v>
      </c>
      <c r="I5" s="384" t="s">
        <v>206</v>
      </c>
      <c r="J5" s="560" t="s">
        <v>212</v>
      </c>
      <c r="K5" s="560"/>
      <c r="L5" s="392" t="s">
        <v>168</v>
      </c>
    </row>
    <row r="6" spans="1:14" s="380" customFormat="1" x14ac:dyDescent="0.2">
      <c r="A6" s="559" t="s">
        <v>129</v>
      </c>
      <c r="B6" s="559"/>
      <c r="C6" s="559"/>
      <c r="D6" s="559"/>
      <c r="E6" s="559"/>
      <c r="F6" s="392">
        <v>300</v>
      </c>
      <c r="G6" s="392">
        <v>350</v>
      </c>
      <c r="H6" s="393">
        <v>400</v>
      </c>
      <c r="I6" s="394">
        <v>500</v>
      </c>
      <c r="J6" s="393">
        <v>550</v>
      </c>
      <c r="K6" s="393">
        <v>600</v>
      </c>
      <c r="L6" s="394">
        <v>700</v>
      </c>
    </row>
    <row r="7" spans="1:14" ht="11.25" customHeight="1" x14ac:dyDescent="0.2"/>
    <row r="8" spans="1:14" s="380" customFormat="1" ht="12.75" customHeight="1" x14ac:dyDescent="0.2">
      <c r="A8" s="543" t="s">
        <v>246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</row>
    <row r="9" spans="1:14" ht="12.75" customHeight="1" x14ac:dyDescent="0.2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</row>
    <row r="10" spans="1:14" s="380" customFormat="1" x14ac:dyDescent="0.2">
      <c r="A10" s="557" t="s">
        <v>227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</row>
    <row r="11" spans="1:14" s="380" customFormat="1" x14ac:dyDescent="0.2">
      <c r="A11" s="395" t="s">
        <v>161</v>
      </c>
      <c r="B11" s="553" t="s">
        <v>162</v>
      </c>
      <c r="C11" s="553"/>
      <c r="D11" s="553"/>
      <c r="E11" s="395" t="s">
        <v>163</v>
      </c>
      <c r="F11" s="553"/>
      <c r="G11" s="553"/>
      <c r="H11" s="534" t="s">
        <v>229</v>
      </c>
      <c r="I11" s="534"/>
      <c r="J11" s="534"/>
      <c r="K11" s="534"/>
      <c r="L11" s="534"/>
      <c r="M11" s="398"/>
      <c r="N11" s="399" t="s">
        <v>258</v>
      </c>
    </row>
    <row r="12" spans="1:14" ht="12.75" customHeight="1" x14ac:dyDescent="0.2">
      <c r="A12" s="535" t="s">
        <v>130</v>
      </c>
      <c r="B12" s="535" t="s">
        <v>131</v>
      </c>
      <c r="C12" s="535"/>
      <c r="D12" s="535"/>
      <c r="E12" s="535" t="s">
        <v>132</v>
      </c>
      <c r="F12" s="530" t="s">
        <v>165</v>
      </c>
      <c r="G12" s="530"/>
      <c r="H12" s="562" t="s">
        <v>165</v>
      </c>
      <c r="I12" s="530" t="s">
        <v>165</v>
      </c>
      <c r="J12" s="536">
        <v>288</v>
      </c>
      <c r="K12" s="536"/>
      <c r="L12" s="530" t="s">
        <v>165</v>
      </c>
      <c r="N12" s="399" t="s">
        <v>259</v>
      </c>
    </row>
    <row r="13" spans="1:14" ht="12.75" customHeight="1" x14ac:dyDescent="0.2">
      <c r="A13" s="535"/>
      <c r="B13" s="535" t="s">
        <v>193</v>
      </c>
      <c r="C13" s="535"/>
      <c r="D13" s="535"/>
      <c r="E13" s="535"/>
      <c r="F13" s="530"/>
      <c r="G13" s="530"/>
      <c r="H13" s="562"/>
      <c r="I13" s="530"/>
      <c r="J13" s="536">
        <v>288</v>
      </c>
      <c r="K13" s="536"/>
      <c r="L13" s="530"/>
      <c r="M13" s="401" t="s">
        <v>256</v>
      </c>
      <c r="N13" s="400" t="s">
        <v>254</v>
      </c>
    </row>
    <row r="14" spans="1:14" ht="12.75" customHeight="1" x14ac:dyDescent="0.2">
      <c r="A14" s="535"/>
      <c r="B14" s="535" t="s">
        <v>133</v>
      </c>
      <c r="C14" s="535"/>
      <c r="D14" s="535"/>
      <c r="E14" s="535"/>
      <c r="F14" s="530"/>
      <c r="G14" s="530"/>
      <c r="H14" s="396">
        <v>282</v>
      </c>
      <c r="I14" s="530"/>
      <c r="J14" s="536">
        <v>288</v>
      </c>
      <c r="K14" s="536"/>
      <c r="L14" s="530"/>
    </row>
    <row r="15" spans="1:14" ht="12.75" customHeight="1" x14ac:dyDescent="0.2">
      <c r="A15" s="535"/>
      <c r="B15" s="535" t="s">
        <v>134</v>
      </c>
      <c r="C15" s="535"/>
      <c r="D15" s="535"/>
      <c r="E15" s="535"/>
      <c r="F15" s="530"/>
      <c r="G15" s="530"/>
      <c r="H15" s="396">
        <v>282</v>
      </c>
      <c r="I15" s="530"/>
      <c r="J15" s="536">
        <v>288</v>
      </c>
      <c r="K15" s="536"/>
      <c r="L15" s="530"/>
    </row>
    <row r="16" spans="1:14" ht="12.75" customHeight="1" x14ac:dyDescent="0.2">
      <c r="A16" s="535"/>
      <c r="B16" s="535" t="s">
        <v>188</v>
      </c>
      <c r="C16" s="535"/>
      <c r="D16" s="535"/>
      <c r="E16" s="535"/>
      <c r="F16" s="530"/>
      <c r="G16" s="530"/>
      <c r="H16" s="396">
        <v>282</v>
      </c>
      <c r="I16" s="530"/>
      <c r="J16" s="536">
        <v>288</v>
      </c>
      <c r="K16" s="536"/>
      <c r="L16" s="530"/>
    </row>
    <row r="17" spans="1:14" ht="12.75" customHeight="1" x14ac:dyDescent="0.2">
      <c r="A17" s="535"/>
      <c r="B17" s="535" t="s">
        <v>136</v>
      </c>
      <c r="C17" s="535"/>
      <c r="D17" s="535"/>
      <c r="E17" s="535"/>
      <c r="F17" s="530"/>
      <c r="G17" s="530"/>
      <c r="H17" s="396">
        <v>282</v>
      </c>
      <c r="I17" s="530"/>
      <c r="J17" s="536">
        <v>288</v>
      </c>
      <c r="K17" s="536"/>
      <c r="L17" s="530"/>
    </row>
    <row r="18" spans="1:14" ht="12.75" customHeight="1" x14ac:dyDescent="0.2">
      <c r="A18" s="535"/>
      <c r="B18" s="535" t="s">
        <v>205</v>
      </c>
      <c r="C18" s="535"/>
      <c r="D18" s="535"/>
      <c r="E18" s="535"/>
      <c r="F18" s="530"/>
      <c r="G18" s="530"/>
      <c r="H18" s="396">
        <v>282</v>
      </c>
      <c r="I18" s="530"/>
      <c r="J18" s="536">
        <v>288</v>
      </c>
      <c r="K18" s="536"/>
      <c r="L18" s="530"/>
    </row>
    <row r="19" spans="1:14" ht="12.75" customHeight="1" x14ac:dyDescent="0.2">
      <c r="A19" s="535" t="s">
        <v>190</v>
      </c>
      <c r="B19" s="535" t="s">
        <v>189</v>
      </c>
      <c r="C19" s="535"/>
      <c r="D19" s="535"/>
      <c r="E19" s="535"/>
      <c r="F19" s="530"/>
      <c r="G19" s="530"/>
      <c r="H19" s="396">
        <v>282</v>
      </c>
      <c r="I19" s="530"/>
      <c r="J19" s="561" t="s">
        <v>127</v>
      </c>
      <c r="K19" s="561"/>
      <c r="L19" s="531" t="s">
        <v>127</v>
      </c>
    </row>
    <row r="20" spans="1:14" ht="12.75" customHeight="1" x14ac:dyDescent="0.2">
      <c r="A20" s="535"/>
      <c r="B20" s="535" t="s">
        <v>211</v>
      </c>
      <c r="C20" s="535"/>
      <c r="D20" s="535"/>
      <c r="E20" s="535"/>
      <c r="F20" s="530"/>
      <c r="G20" s="530"/>
      <c r="H20" s="397" t="s">
        <v>165</v>
      </c>
      <c r="I20" s="530"/>
      <c r="J20" s="561"/>
      <c r="K20" s="561"/>
      <c r="L20" s="531"/>
    </row>
    <row r="21" spans="1:14" s="380" customFormat="1" ht="11.25" customHeight="1" x14ac:dyDescent="0.2">
      <c r="A21" s="556" t="s">
        <v>213</v>
      </c>
      <c r="B21" s="556"/>
      <c r="C21" s="556"/>
      <c r="D21" s="556"/>
      <c r="E21" s="556"/>
      <c r="F21" s="556"/>
      <c r="G21" s="556"/>
      <c r="H21" s="556"/>
      <c r="I21" s="381"/>
      <c r="J21" s="381"/>
      <c r="K21" s="382"/>
      <c r="L21" s="382"/>
    </row>
    <row r="22" spans="1:14" x14ac:dyDescent="0.2">
      <c r="A22" s="557" t="s">
        <v>224</v>
      </c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4" s="380" customFormat="1" x14ac:dyDescent="0.2">
      <c r="A23" s="395" t="s">
        <v>161</v>
      </c>
      <c r="B23" s="553" t="s">
        <v>162</v>
      </c>
      <c r="C23" s="553"/>
      <c r="D23" s="553"/>
      <c r="E23" s="395" t="s">
        <v>163</v>
      </c>
      <c r="F23" s="547" t="s">
        <v>230</v>
      </c>
      <c r="G23" s="548"/>
      <c r="H23" s="548"/>
      <c r="I23" s="548"/>
      <c r="J23" s="548"/>
      <c r="K23" s="548"/>
      <c r="L23" s="549"/>
      <c r="N23" s="380" t="s">
        <v>262</v>
      </c>
    </row>
    <row r="24" spans="1:14" ht="11.25" customHeight="1" x14ac:dyDescent="0.2">
      <c r="A24" s="535" t="s">
        <v>130</v>
      </c>
      <c r="B24" s="535" t="s">
        <v>197</v>
      </c>
      <c r="C24" s="535"/>
      <c r="D24" s="535"/>
      <c r="E24" s="535" t="s">
        <v>132</v>
      </c>
      <c r="F24" s="531" t="s">
        <v>127</v>
      </c>
      <c r="G24" s="531" t="s">
        <v>127</v>
      </c>
      <c r="H24" s="546" t="s">
        <v>127</v>
      </c>
      <c r="I24" s="537" t="s">
        <v>127</v>
      </c>
      <c r="J24" s="536">
        <v>319</v>
      </c>
      <c r="K24" s="537" t="s">
        <v>127</v>
      </c>
      <c r="L24" s="531" t="s">
        <v>127</v>
      </c>
      <c r="M24" s="401" t="s">
        <v>256</v>
      </c>
      <c r="N24" s="399" t="s">
        <v>255</v>
      </c>
    </row>
    <row r="25" spans="1:14" ht="11.25" customHeight="1" x14ac:dyDescent="0.2">
      <c r="A25" s="535"/>
      <c r="B25" s="535"/>
      <c r="C25" s="535"/>
      <c r="D25" s="535"/>
      <c r="E25" s="535"/>
      <c r="F25" s="531"/>
      <c r="G25" s="531"/>
      <c r="H25" s="546"/>
      <c r="I25" s="537"/>
      <c r="J25" s="536"/>
      <c r="K25" s="537"/>
      <c r="L25" s="531"/>
    </row>
    <row r="26" spans="1:14" ht="11.25" customHeight="1" x14ac:dyDescent="0.2">
      <c r="A26" s="342"/>
      <c r="B26" s="342"/>
      <c r="C26" s="342"/>
      <c r="D26" s="342"/>
      <c r="E26" s="342"/>
      <c r="F26" s="342"/>
      <c r="G26" s="347"/>
      <c r="H26" s="350"/>
      <c r="I26" s="351"/>
      <c r="J26" s="349"/>
      <c r="K26" s="347"/>
      <c r="L26" s="347"/>
    </row>
    <row r="27" spans="1:14" s="380" customFormat="1" x14ac:dyDescent="0.2">
      <c r="A27" s="557" t="s">
        <v>225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</row>
    <row r="28" spans="1:14" s="380" customFormat="1" x14ac:dyDescent="0.2">
      <c r="A28" s="395" t="s">
        <v>161</v>
      </c>
      <c r="B28" s="553" t="s">
        <v>162</v>
      </c>
      <c r="C28" s="553"/>
      <c r="D28" s="553"/>
      <c r="E28" s="395" t="s">
        <v>163</v>
      </c>
      <c r="F28" s="547" t="s">
        <v>231</v>
      </c>
      <c r="G28" s="548"/>
      <c r="H28" s="548"/>
      <c r="I28" s="548"/>
      <c r="J28" s="548"/>
      <c r="K28" s="548"/>
      <c r="L28" s="549"/>
    </row>
    <row r="29" spans="1:14" ht="11.25" customHeight="1" x14ac:dyDescent="0.2">
      <c r="A29" s="535" t="s">
        <v>130</v>
      </c>
      <c r="B29" s="535" t="s">
        <v>214</v>
      </c>
      <c r="C29" s="535"/>
      <c r="D29" s="535"/>
      <c r="E29" s="535" t="s">
        <v>132</v>
      </c>
      <c r="F29" s="535" t="s">
        <v>127</v>
      </c>
      <c r="G29" s="531" t="s">
        <v>127</v>
      </c>
      <c r="H29" s="546" t="s">
        <v>165</v>
      </c>
      <c r="I29" s="537" t="s">
        <v>127</v>
      </c>
      <c r="J29" s="558" t="s">
        <v>127</v>
      </c>
      <c r="K29" s="531" t="s">
        <v>127</v>
      </c>
      <c r="L29" s="531" t="s">
        <v>127</v>
      </c>
    </row>
    <row r="30" spans="1:14" ht="11.25" customHeight="1" x14ac:dyDescent="0.2">
      <c r="A30" s="535"/>
      <c r="B30" s="535"/>
      <c r="C30" s="535"/>
      <c r="D30" s="535"/>
      <c r="E30" s="535"/>
      <c r="F30" s="535"/>
      <c r="G30" s="531"/>
      <c r="H30" s="546"/>
      <c r="I30" s="537"/>
      <c r="J30" s="558"/>
      <c r="K30" s="531"/>
      <c r="L30" s="531"/>
    </row>
    <row r="31" spans="1:14" ht="11.25" customHeight="1" x14ac:dyDescent="0.2">
      <c r="A31" s="556"/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345"/>
    </row>
    <row r="32" spans="1:14" ht="12.75" customHeight="1" x14ac:dyDescent="0.2">
      <c r="A32" s="554" t="s">
        <v>169</v>
      </c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</row>
    <row r="33" spans="1:18" ht="12" customHeight="1" x14ac:dyDescent="0.2">
      <c r="A33" s="555" t="s">
        <v>207</v>
      </c>
      <c r="B33" s="555"/>
      <c r="C33" s="555"/>
      <c r="D33" s="555"/>
      <c r="E33" s="555"/>
      <c r="F33" s="555"/>
      <c r="G33" s="555"/>
      <c r="H33" s="555"/>
      <c r="I33" s="539" t="s">
        <v>201</v>
      </c>
      <c r="J33" s="539"/>
      <c r="K33" s="539" t="s">
        <v>138</v>
      </c>
      <c r="L33" s="539"/>
    </row>
    <row r="34" spans="1:18" x14ac:dyDescent="0.2">
      <c r="A34" s="555"/>
      <c r="B34" s="555"/>
      <c r="C34" s="555"/>
      <c r="D34" s="555"/>
      <c r="E34" s="555"/>
      <c r="F34" s="555"/>
      <c r="G34" s="555"/>
      <c r="H34" s="555"/>
      <c r="I34" s="539" t="s">
        <v>202</v>
      </c>
      <c r="J34" s="539"/>
      <c r="K34" s="539" t="s">
        <v>139</v>
      </c>
      <c r="L34" s="539"/>
    </row>
    <row r="35" spans="1:18" x14ac:dyDescent="0.2">
      <c r="A35" s="555"/>
      <c r="B35" s="555"/>
      <c r="C35" s="555"/>
      <c r="D35" s="555"/>
      <c r="E35" s="555"/>
      <c r="F35" s="555"/>
      <c r="G35" s="555"/>
      <c r="H35" s="555"/>
      <c r="I35" s="539" t="s">
        <v>203</v>
      </c>
      <c r="J35" s="539"/>
      <c r="K35" s="539" t="s">
        <v>140</v>
      </c>
      <c r="L35" s="539"/>
    </row>
    <row r="36" spans="1:18" x14ac:dyDescent="0.2">
      <c r="A36" s="348" t="s">
        <v>170</v>
      </c>
      <c r="B36" s="366"/>
      <c r="C36" s="366"/>
      <c r="D36" s="366"/>
      <c r="E36" s="367"/>
      <c r="F36" s="367"/>
      <c r="G36" s="366"/>
      <c r="H36" s="366"/>
      <c r="I36" s="366"/>
      <c r="J36" s="366"/>
      <c r="K36" s="366"/>
      <c r="L36" s="366"/>
    </row>
    <row r="37" spans="1:18" x14ac:dyDescent="0.2">
      <c r="A37" s="348"/>
      <c r="B37" s="366"/>
      <c r="C37" s="366"/>
      <c r="D37" s="366"/>
      <c r="E37" s="367"/>
      <c r="F37" s="367"/>
      <c r="G37" s="366"/>
      <c r="H37" s="366"/>
      <c r="I37" s="366"/>
      <c r="J37" s="366"/>
      <c r="K37" s="366"/>
      <c r="L37" s="366"/>
    </row>
    <row r="38" spans="1:18" x14ac:dyDescent="0.2">
      <c r="A38" s="339" t="s">
        <v>251</v>
      </c>
      <c r="B38" s="339"/>
      <c r="C38" s="339"/>
      <c r="D38" s="339"/>
      <c r="E38" s="164"/>
      <c r="F38" s="164"/>
      <c r="G38" s="339"/>
      <c r="H38" s="339"/>
      <c r="I38" s="339"/>
      <c r="J38" s="339"/>
      <c r="K38" s="339"/>
      <c r="L38" s="339"/>
    </row>
    <row r="39" spans="1:18" x14ac:dyDescent="0.2">
      <c r="A39" s="550" t="s">
        <v>204</v>
      </c>
      <c r="B39" s="550"/>
      <c r="C39" s="550"/>
      <c r="D39" s="550"/>
      <c r="E39" s="550"/>
      <c r="F39" s="550"/>
      <c r="G39" s="550"/>
      <c r="H39" s="550"/>
      <c r="I39" s="550"/>
      <c r="J39" s="550"/>
      <c r="K39" s="550"/>
      <c r="L39" s="550"/>
    </row>
    <row r="40" spans="1:18" ht="15" customHeight="1" x14ac:dyDescent="0.2">
      <c r="A40" s="551" t="s">
        <v>171</v>
      </c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</row>
    <row r="41" spans="1:18" ht="21.75" customHeight="1" x14ac:dyDescent="0.2">
      <c r="A41" s="552" t="s">
        <v>252</v>
      </c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2"/>
    </row>
    <row r="42" spans="1:18" x14ac:dyDescent="0.2">
      <c r="A42" s="339" t="s">
        <v>172</v>
      </c>
      <c r="B42" s="361"/>
      <c r="C42" s="361"/>
      <c r="D42" s="361"/>
      <c r="E42" s="368"/>
      <c r="F42" s="368"/>
      <c r="G42" s="361"/>
      <c r="H42" s="361"/>
      <c r="I42" s="361"/>
      <c r="J42" s="361"/>
      <c r="K42" s="361"/>
      <c r="L42" s="361"/>
    </row>
    <row r="43" spans="1:18" x14ac:dyDescent="0.2">
      <c r="A43" s="360" t="s">
        <v>247</v>
      </c>
      <c r="B43" s="360"/>
      <c r="C43" s="360"/>
      <c r="D43" s="360"/>
      <c r="E43" s="369"/>
      <c r="F43" s="369"/>
      <c r="G43" s="360"/>
      <c r="H43" s="360"/>
      <c r="I43" s="360"/>
      <c r="J43" s="360"/>
      <c r="K43" s="360"/>
      <c r="L43" s="360"/>
      <c r="M43" s="370"/>
      <c r="N43" s="370"/>
      <c r="O43" s="370"/>
      <c r="P43" s="370"/>
      <c r="Q43" s="370"/>
      <c r="R43" s="370"/>
    </row>
    <row r="44" spans="1:18" x14ac:dyDescent="0.2">
      <c r="A44" s="361" t="s">
        <v>248</v>
      </c>
      <c r="B44" s="361"/>
      <c r="C44" s="361"/>
      <c r="D44" s="361"/>
      <c r="E44" s="368"/>
      <c r="F44" s="368"/>
      <c r="G44" s="361"/>
      <c r="H44" s="361"/>
      <c r="I44" s="361"/>
      <c r="J44" s="361"/>
      <c r="K44" s="361"/>
      <c r="L44" s="361"/>
      <c r="M44" s="359"/>
      <c r="N44" s="359"/>
      <c r="O44" s="359"/>
      <c r="P44" s="359"/>
      <c r="Q44" s="359"/>
      <c r="R44" s="359"/>
    </row>
    <row r="45" spans="1:18" x14ac:dyDescent="0.2">
      <c r="A45" s="361"/>
      <c r="B45" s="361"/>
      <c r="C45" s="361"/>
      <c r="D45" s="361"/>
      <c r="E45" s="368"/>
      <c r="F45" s="368"/>
      <c r="G45" s="361"/>
      <c r="H45" s="361"/>
      <c r="I45" s="361"/>
      <c r="J45" s="361"/>
      <c r="K45" s="361"/>
      <c r="L45" s="361"/>
      <c r="M45" s="359"/>
      <c r="N45" s="359"/>
      <c r="O45" s="359"/>
      <c r="P45" s="359"/>
      <c r="Q45" s="359"/>
      <c r="R45" s="359"/>
    </row>
    <row r="46" spans="1:18" x14ac:dyDescent="0.2">
      <c r="A46" s="339" t="s">
        <v>250</v>
      </c>
      <c r="B46" s="339"/>
      <c r="C46" s="339"/>
      <c r="D46" s="339"/>
      <c r="E46" s="164"/>
      <c r="F46" s="164"/>
      <c r="G46" s="339"/>
      <c r="H46" s="339"/>
      <c r="I46" s="339"/>
      <c r="J46" s="339"/>
      <c r="K46" s="362"/>
      <c r="L46" s="339"/>
    </row>
    <row r="47" spans="1:18" ht="15" customHeight="1" x14ac:dyDescent="0.2">
      <c r="A47" s="339"/>
      <c r="B47" s="339"/>
      <c r="C47" s="339"/>
      <c r="D47" s="339"/>
      <c r="E47" s="164"/>
      <c r="F47" s="164"/>
      <c r="G47" s="339"/>
      <c r="H47" s="339"/>
      <c r="I47" s="339"/>
      <c r="J47" s="339"/>
      <c r="K47" s="362"/>
      <c r="L47" s="339"/>
    </row>
    <row r="48" spans="1:18" x14ac:dyDescent="0.2">
      <c r="A48" s="339"/>
      <c r="B48" s="339"/>
      <c r="C48" s="339"/>
      <c r="D48" s="339"/>
      <c r="E48" s="164"/>
      <c r="F48" s="164"/>
      <c r="G48" s="339"/>
      <c r="H48" s="339"/>
      <c r="I48" s="339"/>
      <c r="J48" s="339"/>
      <c r="K48" s="362"/>
      <c r="L48" s="339"/>
    </row>
  </sheetData>
  <mergeCells count="72">
    <mergeCell ref="J18:K18"/>
    <mergeCell ref="L12:L18"/>
    <mergeCell ref="J19:K20"/>
    <mergeCell ref="L19:L20"/>
    <mergeCell ref="J24:J25"/>
    <mergeCell ref="J13:K13"/>
    <mergeCell ref="J14:K14"/>
    <mergeCell ref="J15:K15"/>
    <mergeCell ref="J16:K16"/>
    <mergeCell ref="J17:K17"/>
    <mergeCell ref="A22:L22"/>
    <mergeCell ref="B12:D12"/>
    <mergeCell ref="B13:D13"/>
    <mergeCell ref="B15:D15"/>
    <mergeCell ref="I12:I20"/>
    <mergeCell ref="H12:H13"/>
    <mergeCell ref="K29:K30"/>
    <mergeCell ref="E24:E25"/>
    <mergeCell ref="B28:D28"/>
    <mergeCell ref="L24:L25"/>
    <mergeCell ref="F28:L28"/>
    <mergeCell ref="H24:H25"/>
    <mergeCell ref="L29:L30"/>
    <mergeCell ref="A5:E5"/>
    <mergeCell ref="A6:E6"/>
    <mergeCell ref="A8:L8"/>
    <mergeCell ref="A10:L10"/>
    <mergeCell ref="B11:D11"/>
    <mergeCell ref="H11:L11"/>
    <mergeCell ref="J5:K5"/>
    <mergeCell ref="A21:H21"/>
    <mergeCell ref="B20:D20"/>
    <mergeCell ref="B18:D18"/>
    <mergeCell ref="E12:E20"/>
    <mergeCell ref="B16:D16"/>
    <mergeCell ref="B17:D17"/>
    <mergeCell ref="B14:D14"/>
    <mergeCell ref="F12:G20"/>
    <mergeCell ref="A12:A18"/>
    <mergeCell ref="A19:A20"/>
    <mergeCell ref="J12:K12"/>
    <mergeCell ref="A31:K31"/>
    <mergeCell ref="B23:D23"/>
    <mergeCell ref="A24:A25"/>
    <mergeCell ref="B24:D25"/>
    <mergeCell ref="G24:G25"/>
    <mergeCell ref="A27:L27"/>
    <mergeCell ref="F24:F25"/>
    <mergeCell ref="A29:A30"/>
    <mergeCell ref="B29:D30"/>
    <mergeCell ref="E29:E30"/>
    <mergeCell ref="G29:G30"/>
    <mergeCell ref="H29:H30"/>
    <mergeCell ref="I29:I30"/>
    <mergeCell ref="J29:J30"/>
    <mergeCell ref="K24:K25"/>
    <mergeCell ref="F23:L23"/>
    <mergeCell ref="A39:L39"/>
    <mergeCell ref="A40:L40"/>
    <mergeCell ref="A41:L41"/>
    <mergeCell ref="F11:G11"/>
    <mergeCell ref="F29:F30"/>
    <mergeCell ref="A32:L32"/>
    <mergeCell ref="A33:H35"/>
    <mergeCell ref="I33:J33"/>
    <mergeCell ref="K33:L33"/>
    <mergeCell ref="I34:J34"/>
    <mergeCell ref="K34:L34"/>
    <mergeCell ref="I35:J35"/>
    <mergeCell ref="K35:L35"/>
    <mergeCell ref="I24:I25"/>
    <mergeCell ref="B19:D1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&amp;CStrona  2 z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T183"/>
  <sheetViews>
    <sheetView showGridLines="0" tabSelected="1" zoomScaleNormal="100" workbookViewId="0">
      <selection activeCell="A39" sqref="A39:T39"/>
    </sheetView>
  </sheetViews>
  <sheetFormatPr defaultColWidth="9.140625" defaultRowHeight="12" x14ac:dyDescent="0.2"/>
  <cols>
    <col min="1" max="1" width="16.140625" style="67" customWidth="1"/>
    <col min="2" max="2" width="10.140625" style="67" customWidth="1"/>
    <col min="3" max="16" width="8.85546875" style="67" customWidth="1"/>
    <col min="17" max="17" width="8.85546875" style="67" hidden="1" customWidth="1"/>
    <col min="18" max="20" width="8.85546875" style="67" customWidth="1"/>
    <col min="21" max="16384" width="9.140625" style="67"/>
  </cols>
  <sheetData>
    <row r="1" spans="1:27" ht="15.75" x14ac:dyDescent="0.25">
      <c r="A1" s="896" t="s">
        <v>315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</row>
    <row r="2" spans="1:27" ht="10.5" customHeight="1" x14ac:dyDescent="0.2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27" x14ac:dyDescent="0.2">
      <c r="A3" s="565" t="s">
        <v>288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</row>
    <row r="4" spans="1:27" ht="10.5" customHeight="1" x14ac:dyDescent="0.2">
      <c r="U4" s="461"/>
      <c r="V4" s="461"/>
      <c r="W4" s="461"/>
    </row>
    <row r="5" spans="1:27" x14ac:dyDescent="0.2">
      <c r="A5" s="575" t="s">
        <v>313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461"/>
      <c r="V5" s="461"/>
      <c r="W5" s="461"/>
    </row>
    <row r="6" spans="1:27" ht="10.5" customHeight="1" x14ac:dyDescent="0.2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U6" s="461"/>
      <c r="V6" s="461"/>
      <c r="W6" s="461"/>
    </row>
    <row r="7" spans="1:27" s="447" customFormat="1" x14ac:dyDescent="0.2">
      <c r="A7" s="568" t="s">
        <v>334</v>
      </c>
      <c r="B7" s="569"/>
      <c r="C7" s="504" t="s">
        <v>316</v>
      </c>
      <c r="D7" s="504" t="s">
        <v>277</v>
      </c>
      <c r="E7" s="504" t="s">
        <v>278</v>
      </c>
      <c r="F7" s="504" t="s">
        <v>131</v>
      </c>
      <c r="G7" s="504" t="s">
        <v>193</v>
      </c>
      <c r="H7" s="572" t="s">
        <v>349</v>
      </c>
      <c r="I7" s="573"/>
      <c r="J7" s="572" t="s">
        <v>320</v>
      </c>
      <c r="K7" s="573"/>
      <c r="L7" s="572" t="s">
        <v>321</v>
      </c>
      <c r="M7" s="573"/>
      <c r="N7" s="572" t="s">
        <v>350</v>
      </c>
      <c r="O7" s="573"/>
      <c r="P7" s="504" t="s">
        <v>137</v>
      </c>
      <c r="Q7" s="504" t="s">
        <v>297</v>
      </c>
      <c r="R7" s="571" t="s">
        <v>291</v>
      </c>
      <c r="S7" s="571"/>
      <c r="T7" s="505" t="s">
        <v>292</v>
      </c>
      <c r="Y7" s="461"/>
      <c r="Z7" s="461"/>
      <c r="AA7" s="461"/>
    </row>
    <row r="8" spans="1:27" s="447" customFormat="1" ht="15" customHeight="1" x14ac:dyDescent="0.2">
      <c r="A8" s="570" t="s">
        <v>38</v>
      </c>
      <c r="B8" s="525" t="s">
        <v>353</v>
      </c>
      <c r="C8" s="523" t="s">
        <v>127</v>
      </c>
      <c r="D8" s="523" t="s">
        <v>127</v>
      </c>
      <c r="E8" s="523" t="s">
        <v>127</v>
      </c>
      <c r="F8" s="523" t="s">
        <v>127</v>
      </c>
      <c r="G8" s="523" t="s">
        <v>127</v>
      </c>
      <c r="H8" s="523" t="s">
        <v>127</v>
      </c>
      <c r="I8" s="523"/>
      <c r="J8" s="523" t="s">
        <v>127</v>
      </c>
      <c r="K8" s="523"/>
      <c r="L8" s="523" t="s">
        <v>127</v>
      </c>
      <c r="M8" s="523"/>
      <c r="N8" s="523" t="s">
        <v>127</v>
      </c>
      <c r="O8" s="523"/>
      <c r="P8" s="524">
        <f>419*P27+20</f>
        <v>593.61099999999999</v>
      </c>
      <c r="Q8" s="524">
        <f t="shared" ref="Q8:T8" si="0">419*Q27+20</f>
        <v>491.375</v>
      </c>
      <c r="R8" s="524">
        <f t="shared" si="0"/>
        <v>514.83899999999994</v>
      </c>
      <c r="S8" s="524" t="s">
        <v>127</v>
      </c>
      <c r="T8" s="524">
        <f t="shared" si="0"/>
        <v>472.52000000000004</v>
      </c>
      <c r="Y8" s="461"/>
      <c r="Z8" s="461"/>
      <c r="AA8" s="461"/>
    </row>
    <row r="9" spans="1:27" ht="15" customHeight="1" x14ac:dyDescent="0.2">
      <c r="A9" s="570"/>
      <c r="B9" s="502" t="s">
        <v>329</v>
      </c>
      <c r="C9" s="503" t="s">
        <v>127</v>
      </c>
      <c r="D9" s="503" t="s">
        <v>127</v>
      </c>
      <c r="E9" s="503" t="s">
        <v>127</v>
      </c>
      <c r="F9" s="503" t="s">
        <v>127</v>
      </c>
      <c r="G9" s="503" t="s">
        <v>127</v>
      </c>
      <c r="H9" s="503" t="s">
        <v>127</v>
      </c>
      <c r="I9" s="503" t="s">
        <v>127</v>
      </c>
      <c r="J9" s="503" t="s">
        <v>127</v>
      </c>
      <c r="K9" s="503" t="s">
        <v>127</v>
      </c>
      <c r="L9" s="503">
        <f>469*L27+20</f>
        <v>653.15000000000009</v>
      </c>
      <c r="M9" s="503" t="s">
        <v>127</v>
      </c>
      <c r="N9" s="503">
        <f>469*N27+20</f>
        <v>679.41399999999999</v>
      </c>
      <c r="O9" s="503" t="s">
        <v>127</v>
      </c>
      <c r="P9" s="503">
        <f>469*P27+20</f>
        <v>662.06100000000004</v>
      </c>
      <c r="Q9" s="503">
        <f>469*Q27+20</f>
        <v>547.625</v>
      </c>
      <c r="R9" s="503">
        <f>469*R27+20</f>
        <v>573.88900000000001</v>
      </c>
      <c r="S9" s="503" t="s">
        <v>127</v>
      </c>
      <c r="T9" s="506">
        <f>469*T27+20</f>
        <v>526.52</v>
      </c>
      <c r="Y9" s="461"/>
      <c r="Z9" s="461"/>
      <c r="AA9" s="461"/>
    </row>
    <row r="10" spans="1:27" ht="15" customHeight="1" x14ac:dyDescent="0.2">
      <c r="A10" s="570"/>
      <c r="B10" s="490" t="s">
        <v>330</v>
      </c>
      <c r="C10" s="491" t="s">
        <v>127</v>
      </c>
      <c r="D10" s="491" t="s">
        <v>127</v>
      </c>
      <c r="E10" s="491" t="s">
        <v>127</v>
      </c>
      <c r="F10" s="491" t="s">
        <v>127</v>
      </c>
      <c r="G10" s="491" t="s">
        <v>127</v>
      </c>
      <c r="H10" s="491">
        <f t="shared" ref="H10:S10" si="1">538*H27+20</f>
        <v>726.39400000000001</v>
      </c>
      <c r="I10" s="491" t="s">
        <v>127</v>
      </c>
      <c r="J10" s="491">
        <f t="shared" si="1"/>
        <v>726.39400000000001</v>
      </c>
      <c r="K10" s="491" t="s">
        <v>127</v>
      </c>
      <c r="L10" s="491">
        <f t="shared" si="1"/>
        <v>746.30000000000007</v>
      </c>
      <c r="M10" s="491" t="s">
        <v>127</v>
      </c>
      <c r="N10" s="491">
        <f t="shared" si="1"/>
        <v>776.428</v>
      </c>
      <c r="O10" s="491" t="s">
        <v>127</v>
      </c>
      <c r="P10" s="491">
        <f t="shared" si="1"/>
        <v>756.52200000000005</v>
      </c>
      <c r="Q10" s="491">
        <f t="shared" si="1"/>
        <v>625.25</v>
      </c>
      <c r="R10" s="491" t="s">
        <v>127</v>
      </c>
      <c r="S10" s="491">
        <f t="shared" si="1"/>
        <v>528.41</v>
      </c>
      <c r="T10" s="507" t="s">
        <v>127</v>
      </c>
      <c r="Y10" s="461"/>
      <c r="Z10" s="461"/>
      <c r="AA10" s="461"/>
    </row>
    <row r="11" spans="1:27" ht="15" customHeight="1" x14ac:dyDescent="0.2">
      <c r="A11" s="570"/>
      <c r="B11" s="474" t="s">
        <v>331</v>
      </c>
      <c r="C11" s="508" t="s">
        <v>307</v>
      </c>
      <c r="D11" s="475">
        <f>669*D27+20</f>
        <v>960.61399999999992</v>
      </c>
      <c r="E11" s="475">
        <f>669*E27+20</f>
        <v>960.61399999999992</v>
      </c>
      <c r="F11" s="475">
        <f>669*F27+20</f>
        <v>957.67039999999997</v>
      </c>
      <c r="G11" s="475">
        <f t="shared" ref="G11:P11" si="2">669*G27+20</f>
        <v>960.61399999999992</v>
      </c>
      <c r="H11" s="475">
        <f t="shared" si="2"/>
        <v>898.39699999999993</v>
      </c>
      <c r="I11" s="475" t="s">
        <v>127</v>
      </c>
      <c r="J11" s="475">
        <f t="shared" si="2"/>
        <v>898.39699999999993</v>
      </c>
      <c r="K11" s="475" t="s">
        <v>127</v>
      </c>
      <c r="L11" s="475">
        <f t="shared" si="2"/>
        <v>923.15000000000009</v>
      </c>
      <c r="M11" s="475" t="s">
        <v>127</v>
      </c>
      <c r="N11" s="475">
        <f t="shared" si="2"/>
        <v>960.61399999999992</v>
      </c>
      <c r="O11" s="475" t="s">
        <v>127</v>
      </c>
      <c r="P11" s="475">
        <f t="shared" si="2"/>
        <v>935.86099999999999</v>
      </c>
      <c r="Q11" s="475" t="s">
        <v>127</v>
      </c>
      <c r="R11" s="508" t="s">
        <v>127</v>
      </c>
      <c r="S11" s="475" t="s">
        <v>127</v>
      </c>
      <c r="T11" s="509" t="s">
        <v>127</v>
      </c>
      <c r="Y11" s="461"/>
      <c r="Z11" s="461"/>
      <c r="AA11" s="461"/>
    </row>
    <row r="12" spans="1:27" ht="15" customHeight="1" x14ac:dyDescent="0.2">
      <c r="A12" s="570"/>
      <c r="B12" s="488" t="s">
        <v>332</v>
      </c>
      <c r="C12" s="510" t="s">
        <v>314</v>
      </c>
      <c r="D12" s="489">
        <f t="shared" ref="D12:G12" si="3">807*D27+20</f>
        <v>1154.6419999999998</v>
      </c>
      <c r="E12" s="489">
        <f t="shared" si="3"/>
        <v>1154.6419999999998</v>
      </c>
      <c r="F12" s="489">
        <f t="shared" si="3"/>
        <v>1151.0912000000001</v>
      </c>
      <c r="G12" s="489">
        <f t="shared" si="3"/>
        <v>1154.6419999999998</v>
      </c>
      <c r="H12" s="489">
        <f t="shared" ref="H12:P12" si="4">807*H27+20</f>
        <v>1079.5909999999999</v>
      </c>
      <c r="I12" s="489" t="s">
        <v>127</v>
      </c>
      <c r="J12" s="489">
        <f t="shared" si="4"/>
        <v>1079.5909999999999</v>
      </c>
      <c r="K12" s="489" t="s">
        <v>127</v>
      </c>
      <c r="L12" s="489">
        <f t="shared" si="4"/>
        <v>1109.45</v>
      </c>
      <c r="M12" s="489" t="s">
        <v>127</v>
      </c>
      <c r="N12" s="489">
        <f t="shared" si="4"/>
        <v>1154.6419999999998</v>
      </c>
      <c r="O12" s="489" t="s">
        <v>127</v>
      </c>
      <c r="P12" s="489">
        <f t="shared" si="4"/>
        <v>1124.7829999999999</v>
      </c>
      <c r="Q12" s="489" t="s">
        <v>127</v>
      </c>
      <c r="R12" s="489" t="s">
        <v>127</v>
      </c>
      <c r="S12" s="511" t="s">
        <v>127</v>
      </c>
      <c r="T12" s="512" t="s">
        <v>127</v>
      </c>
    </row>
    <row r="13" spans="1:27" ht="15" customHeight="1" x14ac:dyDescent="0.2">
      <c r="A13" s="570"/>
      <c r="B13" s="496" t="s">
        <v>333</v>
      </c>
      <c r="C13" s="497" t="s">
        <v>127</v>
      </c>
      <c r="D13" s="497" t="s">
        <v>127</v>
      </c>
      <c r="E13" s="497" t="s">
        <v>127</v>
      </c>
      <c r="F13" s="497" t="s">
        <v>127</v>
      </c>
      <c r="G13" s="497" t="s">
        <v>127</v>
      </c>
      <c r="H13" s="497" t="s">
        <v>127</v>
      </c>
      <c r="I13" s="497">
        <f>938*I27+20</f>
        <v>1004.9000000000001</v>
      </c>
      <c r="J13" s="497" t="s">
        <v>127</v>
      </c>
      <c r="K13" s="497">
        <f>938*K27+20</f>
        <v>1004.9000000000001</v>
      </c>
      <c r="L13" s="497" t="s">
        <v>127</v>
      </c>
      <c r="M13" s="497">
        <f>938*M27+20</f>
        <v>1033.04</v>
      </c>
      <c r="N13" s="497" t="s">
        <v>127</v>
      </c>
      <c r="O13" s="497">
        <f>938*O27+20</f>
        <v>1075.25</v>
      </c>
      <c r="P13" s="497" t="s">
        <v>127</v>
      </c>
      <c r="Q13" s="497" t="s">
        <v>127</v>
      </c>
      <c r="R13" s="497" t="s">
        <v>127</v>
      </c>
      <c r="S13" s="497" t="s">
        <v>127</v>
      </c>
      <c r="T13" s="513" t="s">
        <v>127</v>
      </c>
    </row>
    <row r="14" spans="1:27" ht="26.25" customHeight="1" x14ac:dyDescent="0.2">
      <c r="A14" s="574" t="s">
        <v>348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</row>
    <row r="15" spans="1:27" s="447" customFormat="1" ht="12.75" customHeight="1" x14ac:dyDescent="0.2">
      <c r="A15" s="568" t="s">
        <v>334</v>
      </c>
      <c r="B15" s="569"/>
      <c r="C15" s="504" t="s">
        <v>316</v>
      </c>
      <c r="D15" s="504" t="s">
        <v>277</v>
      </c>
      <c r="E15" s="504" t="s">
        <v>278</v>
      </c>
      <c r="F15" s="504" t="s">
        <v>131</v>
      </c>
      <c r="G15" s="504" t="s">
        <v>193</v>
      </c>
      <c r="H15" s="572" t="s">
        <v>349</v>
      </c>
      <c r="I15" s="573"/>
      <c r="J15" s="572" t="s">
        <v>320</v>
      </c>
      <c r="K15" s="573"/>
      <c r="L15" s="572" t="s">
        <v>321</v>
      </c>
      <c r="M15" s="573"/>
      <c r="N15" s="572" t="s">
        <v>350</v>
      </c>
      <c r="O15" s="573"/>
      <c r="P15" s="504" t="s">
        <v>137</v>
      </c>
      <c r="Q15" s="504" t="s">
        <v>297</v>
      </c>
      <c r="R15" s="571" t="s">
        <v>291</v>
      </c>
      <c r="S15" s="571"/>
      <c r="T15" s="505" t="s">
        <v>292</v>
      </c>
      <c r="Y15" s="461"/>
      <c r="Z15" s="461"/>
      <c r="AA15" s="461"/>
    </row>
    <row r="16" spans="1:27" s="447" customFormat="1" ht="15" customHeight="1" x14ac:dyDescent="0.2">
      <c r="A16" s="570" t="s">
        <v>38</v>
      </c>
      <c r="B16" s="525" t="s">
        <v>353</v>
      </c>
      <c r="C16" s="523" t="s">
        <v>127</v>
      </c>
      <c r="D16" s="523" t="s">
        <v>127</v>
      </c>
      <c r="E16" s="523" t="s">
        <v>127</v>
      </c>
      <c r="F16" s="523" t="s">
        <v>127</v>
      </c>
      <c r="G16" s="523" t="s">
        <v>127</v>
      </c>
      <c r="H16" s="523" t="s">
        <v>127</v>
      </c>
      <c r="I16" s="523"/>
      <c r="J16" s="523" t="s">
        <v>127</v>
      </c>
      <c r="K16" s="523"/>
      <c r="L16" s="523" t="s">
        <v>127</v>
      </c>
      <c r="M16" s="523"/>
      <c r="N16" s="523" t="s">
        <v>127</v>
      </c>
      <c r="O16" s="523"/>
      <c r="P16" s="523">
        <v>30</v>
      </c>
      <c r="Q16" s="523">
        <v>30</v>
      </c>
      <c r="R16" s="523">
        <v>30</v>
      </c>
      <c r="S16" s="523" t="s">
        <v>127</v>
      </c>
      <c r="T16" s="526">
        <v>36</v>
      </c>
      <c r="Y16" s="461"/>
      <c r="Z16" s="461"/>
      <c r="AA16" s="461"/>
    </row>
    <row r="17" spans="1:27" ht="15" customHeight="1" x14ac:dyDescent="0.2">
      <c r="A17" s="570"/>
      <c r="B17" s="502" t="s">
        <v>329</v>
      </c>
      <c r="C17" s="503" t="s">
        <v>127</v>
      </c>
      <c r="D17" s="503" t="s">
        <v>127</v>
      </c>
      <c r="E17" s="503" t="s">
        <v>127</v>
      </c>
      <c r="F17" s="503" t="s">
        <v>127</v>
      </c>
      <c r="G17" s="503" t="s">
        <v>127</v>
      </c>
      <c r="H17" s="503" t="s">
        <v>127</v>
      </c>
      <c r="I17" s="503" t="s">
        <v>127</v>
      </c>
      <c r="J17" s="503" t="s">
        <v>127</v>
      </c>
      <c r="K17" s="503" t="s">
        <v>127</v>
      </c>
      <c r="L17" s="503">
        <v>30</v>
      </c>
      <c r="M17" s="503" t="s">
        <v>127</v>
      </c>
      <c r="N17" s="503">
        <v>30</v>
      </c>
      <c r="O17" s="503" t="s">
        <v>127</v>
      </c>
      <c r="P17" s="503">
        <v>30</v>
      </c>
      <c r="Q17" s="503">
        <v>30</v>
      </c>
      <c r="R17" s="503">
        <v>30</v>
      </c>
      <c r="S17" s="503" t="s">
        <v>127</v>
      </c>
      <c r="T17" s="506">
        <v>36</v>
      </c>
      <c r="Y17" s="461"/>
      <c r="Z17" s="461"/>
      <c r="AA17" s="461"/>
    </row>
    <row r="18" spans="1:27" ht="15" customHeight="1" x14ac:dyDescent="0.2">
      <c r="A18" s="570"/>
      <c r="B18" s="490" t="s">
        <v>330</v>
      </c>
      <c r="C18" s="491" t="s">
        <v>127</v>
      </c>
      <c r="D18" s="491" t="s">
        <v>127</v>
      </c>
      <c r="E18" s="491" t="s">
        <v>127</v>
      </c>
      <c r="F18" s="491" t="s">
        <v>127</v>
      </c>
      <c r="G18" s="491" t="s">
        <v>127</v>
      </c>
      <c r="H18" s="491">
        <v>30</v>
      </c>
      <c r="I18" s="491" t="s">
        <v>127</v>
      </c>
      <c r="J18" s="491">
        <v>30</v>
      </c>
      <c r="K18" s="491" t="s">
        <v>127</v>
      </c>
      <c r="L18" s="491">
        <v>30</v>
      </c>
      <c r="M18" s="491" t="s">
        <v>127</v>
      </c>
      <c r="N18" s="491">
        <v>30</v>
      </c>
      <c r="O18" s="491" t="s">
        <v>127</v>
      </c>
      <c r="P18" s="491">
        <v>30</v>
      </c>
      <c r="Q18" s="491">
        <v>30</v>
      </c>
      <c r="R18" s="491" t="s">
        <v>127</v>
      </c>
      <c r="S18" s="491">
        <v>36</v>
      </c>
      <c r="T18" s="507" t="s">
        <v>127</v>
      </c>
      <c r="Y18" s="461"/>
      <c r="Z18" s="461"/>
      <c r="AA18" s="461"/>
    </row>
    <row r="19" spans="1:27" ht="15" customHeight="1" x14ac:dyDescent="0.2">
      <c r="A19" s="570"/>
      <c r="B19" s="474" t="s">
        <v>331</v>
      </c>
      <c r="C19" s="475">
        <f>ROUNDDOWN(24300/961,0)</f>
        <v>25</v>
      </c>
      <c r="D19" s="475">
        <f>ROUNDDOWN(24300/D11,0)</f>
        <v>25</v>
      </c>
      <c r="E19" s="475">
        <f t="shared" ref="E19:P19" si="5">ROUNDDOWN(24300/E11,0)</f>
        <v>25</v>
      </c>
      <c r="F19" s="475">
        <f t="shared" si="5"/>
        <v>25</v>
      </c>
      <c r="G19" s="475">
        <f t="shared" si="5"/>
        <v>25</v>
      </c>
      <c r="H19" s="475">
        <f t="shared" si="5"/>
        <v>27</v>
      </c>
      <c r="I19" s="475" t="s">
        <v>127</v>
      </c>
      <c r="J19" s="475">
        <f t="shared" si="5"/>
        <v>27</v>
      </c>
      <c r="K19" s="475" t="s">
        <v>127</v>
      </c>
      <c r="L19" s="475">
        <f t="shared" si="5"/>
        <v>26</v>
      </c>
      <c r="M19" s="475" t="s">
        <v>127</v>
      </c>
      <c r="N19" s="475">
        <f t="shared" si="5"/>
        <v>25</v>
      </c>
      <c r="O19" s="475" t="s">
        <v>127</v>
      </c>
      <c r="P19" s="475">
        <f t="shared" si="5"/>
        <v>25</v>
      </c>
      <c r="Q19" s="475" t="s">
        <v>127</v>
      </c>
      <c r="R19" s="508" t="s">
        <v>127</v>
      </c>
      <c r="S19" s="475" t="s">
        <v>127</v>
      </c>
      <c r="T19" s="509" t="s">
        <v>127</v>
      </c>
      <c r="Y19" s="461"/>
      <c r="Z19" s="461"/>
      <c r="AA19" s="461"/>
    </row>
    <row r="20" spans="1:27" ht="15" customHeight="1" x14ac:dyDescent="0.2">
      <c r="A20" s="570"/>
      <c r="B20" s="488" t="s">
        <v>332</v>
      </c>
      <c r="C20" s="489">
        <f>ROUNDDOWN(24300/1155,0)</f>
        <v>21</v>
      </c>
      <c r="D20" s="489">
        <f>ROUNDDOWN(24300/D12,0)</f>
        <v>21</v>
      </c>
      <c r="E20" s="489">
        <f t="shared" ref="E20:P21" si="6">ROUNDDOWN(24300/E12,0)</f>
        <v>21</v>
      </c>
      <c r="F20" s="489">
        <f t="shared" si="6"/>
        <v>21</v>
      </c>
      <c r="G20" s="489">
        <f t="shared" si="6"/>
        <v>21</v>
      </c>
      <c r="H20" s="489">
        <f t="shared" si="6"/>
        <v>22</v>
      </c>
      <c r="I20" s="489" t="s">
        <v>127</v>
      </c>
      <c r="J20" s="489">
        <f t="shared" si="6"/>
        <v>22</v>
      </c>
      <c r="K20" s="489" t="s">
        <v>127</v>
      </c>
      <c r="L20" s="489">
        <f t="shared" si="6"/>
        <v>21</v>
      </c>
      <c r="M20" s="489" t="s">
        <v>127</v>
      </c>
      <c r="N20" s="489">
        <f t="shared" si="6"/>
        <v>21</v>
      </c>
      <c r="O20" s="489" t="s">
        <v>127</v>
      </c>
      <c r="P20" s="489">
        <f t="shared" si="6"/>
        <v>21</v>
      </c>
      <c r="Q20" s="489" t="s">
        <v>127</v>
      </c>
      <c r="R20" s="489" t="s">
        <v>127</v>
      </c>
      <c r="S20" s="511" t="s">
        <v>127</v>
      </c>
      <c r="T20" s="512" t="s">
        <v>127</v>
      </c>
    </row>
    <row r="21" spans="1:27" ht="15" customHeight="1" x14ac:dyDescent="0.2">
      <c r="A21" s="570"/>
      <c r="B21" s="496" t="s">
        <v>333</v>
      </c>
      <c r="C21" s="497" t="s">
        <v>127</v>
      </c>
      <c r="D21" s="497" t="s">
        <v>127</v>
      </c>
      <c r="E21" s="497" t="s">
        <v>127</v>
      </c>
      <c r="F21" s="497" t="s">
        <v>127</v>
      </c>
      <c r="G21" s="497" t="s">
        <v>127</v>
      </c>
      <c r="H21" s="497" t="s">
        <v>127</v>
      </c>
      <c r="I21" s="497">
        <f t="shared" si="6"/>
        <v>24</v>
      </c>
      <c r="J21" s="497" t="s">
        <v>127</v>
      </c>
      <c r="K21" s="497">
        <f t="shared" si="6"/>
        <v>24</v>
      </c>
      <c r="L21" s="497" t="s">
        <v>127</v>
      </c>
      <c r="M21" s="497">
        <f t="shared" si="6"/>
        <v>23</v>
      </c>
      <c r="N21" s="497" t="s">
        <v>127</v>
      </c>
      <c r="O21" s="497">
        <f t="shared" si="6"/>
        <v>22</v>
      </c>
      <c r="P21" s="497" t="s">
        <v>127</v>
      </c>
      <c r="Q21" s="497" t="s">
        <v>127</v>
      </c>
      <c r="R21" s="497" t="s">
        <v>127</v>
      </c>
      <c r="S21" s="497" t="s">
        <v>127</v>
      </c>
      <c r="T21" s="513" t="s">
        <v>127</v>
      </c>
    </row>
    <row r="22" spans="1:27" s="447" customFormat="1" ht="10.5" customHeight="1" x14ac:dyDescent="0.2">
      <c r="A22" s="579"/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</row>
    <row r="23" spans="1:27" ht="15" customHeight="1" x14ac:dyDescent="0.2">
      <c r="A23" s="581" t="s">
        <v>191</v>
      </c>
      <c r="B23" s="478" t="s">
        <v>303</v>
      </c>
      <c r="C23" s="477" t="s">
        <v>270</v>
      </c>
      <c r="D23" s="478">
        <v>120</v>
      </c>
      <c r="E23" s="478">
        <v>90</v>
      </c>
      <c r="F23" s="478">
        <v>78</v>
      </c>
      <c r="G23" s="478">
        <v>60</v>
      </c>
      <c r="H23" s="478">
        <v>48</v>
      </c>
      <c r="I23" s="478">
        <v>48</v>
      </c>
      <c r="J23" s="478">
        <v>42</v>
      </c>
      <c r="K23" s="478">
        <v>42</v>
      </c>
      <c r="L23" s="478">
        <v>36</v>
      </c>
      <c r="M23" s="478">
        <v>36</v>
      </c>
      <c r="N23" s="478">
        <v>30</v>
      </c>
      <c r="O23" s="478">
        <v>30</v>
      </c>
      <c r="P23" s="478">
        <v>24</v>
      </c>
      <c r="Q23" s="478">
        <v>18</v>
      </c>
      <c r="R23" s="478">
        <v>18</v>
      </c>
      <c r="S23" s="478">
        <v>18</v>
      </c>
      <c r="T23" s="478">
        <v>18</v>
      </c>
    </row>
    <row r="24" spans="1:27" ht="15" customHeight="1" x14ac:dyDescent="0.2">
      <c r="A24" s="581"/>
      <c r="B24" s="443" t="s">
        <v>304</v>
      </c>
      <c r="C24" s="443">
        <v>6.4</v>
      </c>
      <c r="D24" s="443">
        <v>6.4</v>
      </c>
      <c r="E24" s="443">
        <v>6.4</v>
      </c>
      <c r="F24" s="443">
        <v>6.4</v>
      </c>
      <c r="G24" s="443">
        <v>6.4</v>
      </c>
      <c r="H24" s="443">
        <v>6.4</v>
      </c>
      <c r="I24" s="443">
        <v>8</v>
      </c>
      <c r="J24" s="443">
        <v>6.4</v>
      </c>
      <c r="K24" s="443">
        <v>8</v>
      </c>
      <c r="L24" s="443">
        <v>6.4</v>
      </c>
      <c r="M24" s="443">
        <v>8</v>
      </c>
      <c r="N24" s="443">
        <v>6.4</v>
      </c>
      <c r="O24" s="443">
        <v>8</v>
      </c>
      <c r="P24" s="443">
        <v>6.4</v>
      </c>
      <c r="Q24" s="443">
        <v>6.4</v>
      </c>
      <c r="R24" s="443">
        <v>6.4</v>
      </c>
      <c r="S24" s="443">
        <v>8</v>
      </c>
      <c r="T24" s="443">
        <v>8</v>
      </c>
    </row>
    <row r="25" spans="1:27" ht="15" customHeight="1" x14ac:dyDescent="0.2">
      <c r="A25" s="581"/>
      <c r="B25" s="478" t="s">
        <v>305</v>
      </c>
      <c r="C25" s="480">
        <f>1/0.05/0.25/0.625</f>
        <v>128</v>
      </c>
      <c r="D25" s="480">
        <f>1/0.075/0.25/0.625</f>
        <v>85.333333333333343</v>
      </c>
      <c r="E25" s="480">
        <f>1/0.1/0.25/0.625</f>
        <v>64</v>
      </c>
      <c r="F25" s="480">
        <f>1/0.115/0.25/0.625</f>
        <v>55.652173913043477</v>
      </c>
      <c r="G25" s="480">
        <f>1/0.15/0.25/0.625</f>
        <v>42.666666666666671</v>
      </c>
      <c r="H25" s="480">
        <f>1/0.175/0.25/0.625</f>
        <v>36.571428571428569</v>
      </c>
      <c r="I25" s="480">
        <f>1/0.175/0.25/0.5</f>
        <v>45.714285714285715</v>
      </c>
      <c r="J25" s="480">
        <f>1/0.2/0.25/0.625</f>
        <v>32</v>
      </c>
      <c r="K25" s="480">
        <f>1/0.2/0.25/0.5</f>
        <v>40</v>
      </c>
      <c r="L25" s="480">
        <f>1/0.24/0.25/0.625</f>
        <v>26.666666666666668</v>
      </c>
      <c r="M25" s="480">
        <f>1/0.24/0.25/0.5</f>
        <v>33.333333333333336</v>
      </c>
      <c r="N25" s="480">
        <f>1/0.3/0.25/0.625</f>
        <v>21.333333333333336</v>
      </c>
      <c r="O25" s="480">
        <f>1/0.3/0.25/0.5</f>
        <v>26.666666666666668</v>
      </c>
      <c r="P25" s="480">
        <f>1/0.365/0.25/0.625</f>
        <v>17.534246575342465</v>
      </c>
      <c r="Q25" s="480">
        <f>1/0.4/0.25/0.625</f>
        <v>16</v>
      </c>
      <c r="R25" s="480">
        <f>1/0.42/0.25/0.625</f>
        <v>15.238095238095237</v>
      </c>
      <c r="S25" s="480">
        <f>1/0.42/0.25/0.5</f>
        <v>19.047619047619047</v>
      </c>
      <c r="T25" s="480">
        <f>1/0.48/0.25/0.5</f>
        <v>16.666666666666668</v>
      </c>
    </row>
    <row r="26" spans="1:27" ht="15" customHeight="1" x14ac:dyDescent="0.2">
      <c r="A26" s="581"/>
      <c r="B26" s="443" t="s">
        <v>295</v>
      </c>
      <c r="C26" s="444">
        <f>C27/0.05</f>
        <v>24.38</v>
      </c>
      <c r="D26" s="444">
        <f>D27/0.075</f>
        <v>18.746666666666666</v>
      </c>
      <c r="E26" s="444">
        <f>E27/0.1</f>
        <v>14.059999999999999</v>
      </c>
      <c r="F26" s="444">
        <f>F27/0.115</f>
        <v>12.187826086956521</v>
      </c>
      <c r="G26" s="444">
        <f>G27/0.15</f>
        <v>9.3733333333333331</v>
      </c>
      <c r="H26" s="444">
        <f>H27/0.175</f>
        <v>7.5028571428571427</v>
      </c>
      <c r="I26" s="444">
        <f>I27/0.175</f>
        <v>6.0000000000000009</v>
      </c>
      <c r="J26" s="444">
        <f>J27/0.2</f>
        <v>6.5649999999999995</v>
      </c>
      <c r="K26" s="444">
        <f>K27/0.2</f>
        <v>5.25</v>
      </c>
      <c r="L26" s="444">
        <f>L27/0.24</f>
        <v>5.6250000000000009</v>
      </c>
      <c r="M26" s="444">
        <f>M27/0.24</f>
        <v>4.5000000000000009</v>
      </c>
      <c r="N26" s="444">
        <f>N27/0.3</f>
        <v>4.6866666666666665</v>
      </c>
      <c r="O26" s="444">
        <f>O27/0.3</f>
        <v>3.75</v>
      </c>
      <c r="P26" s="444">
        <f>P27/0.365</f>
        <v>3.7506849315068496</v>
      </c>
      <c r="Q26" s="444">
        <f>Q27/0.4</f>
        <v>2.8125</v>
      </c>
      <c r="R26" s="444">
        <f>R27/0.42</f>
        <v>2.8119047619047621</v>
      </c>
      <c r="S26" s="444">
        <f>S27/0.42</f>
        <v>2.25</v>
      </c>
      <c r="T26" s="444">
        <f>T27/0.48</f>
        <v>2.2500000000000004</v>
      </c>
    </row>
    <row r="27" spans="1:27" ht="15" customHeight="1" x14ac:dyDescent="0.2">
      <c r="A27" s="581"/>
      <c r="B27" s="478" t="s">
        <v>296</v>
      </c>
      <c r="C27" s="492">
        <v>1.2190000000000001</v>
      </c>
      <c r="D27" s="492">
        <v>1.4059999999999999</v>
      </c>
      <c r="E27" s="492">
        <v>1.4059999999999999</v>
      </c>
      <c r="F27" s="492">
        <v>1.4016</v>
      </c>
      <c r="G27" s="492">
        <v>1.4059999999999999</v>
      </c>
      <c r="H27" s="492">
        <v>1.3129999999999999</v>
      </c>
      <c r="I27" s="492">
        <v>1.05</v>
      </c>
      <c r="J27" s="492">
        <v>1.3129999999999999</v>
      </c>
      <c r="K27" s="492">
        <v>1.05</v>
      </c>
      <c r="L27" s="492">
        <v>1.35</v>
      </c>
      <c r="M27" s="492">
        <v>1.08</v>
      </c>
      <c r="N27" s="492">
        <v>1.4059999999999999</v>
      </c>
      <c r="O27" s="492">
        <v>1.125</v>
      </c>
      <c r="P27" s="492">
        <v>1.369</v>
      </c>
      <c r="Q27" s="492">
        <v>1.125</v>
      </c>
      <c r="R27" s="492">
        <v>1.181</v>
      </c>
      <c r="S27" s="492">
        <v>0.94499999999999995</v>
      </c>
      <c r="T27" s="492">
        <v>1.08</v>
      </c>
    </row>
    <row r="28" spans="1:27" s="447" customFormat="1" ht="13.5" customHeight="1" x14ac:dyDescent="0.2">
      <c r="A28" s="580" t="s">
        <v>312</v>
      </c>
      <c r="B28" s="580"/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</row>
    <row r="29" spans="1:27" s="447" customFormat="1" x14ac:dyDescent="0.2">
      <c r="A29" s="448" t="s">
        <v>345</v>
      </c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</row>
    <row r="30" spans="1:27" s="447" customFormat="1" x14ac:dyDescent="0.2">
      <c r="A30" s="448" t="s">
        <v>351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</row>
    <row r="31" spans="1:27" s="447" customFormat="1" ht="10.5" customHeight="1" x14ac:dyDescent="0.2">
      <c r="A31" s="448"/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</row>
    <row r="32" spans="1:27" x14ac:dyDescent="0.2">
      <c r="A32" s="565" t="s">
        <v>289</v>
      </c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</row>
    <row r="33" spans="1:23" ht="10.5" customHeight="1" x14ac:dyDescent="0.2">
      <c r="A33" s="459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</row>
    <row r="34" spans="1:23" ht="10.5" customHeight="1" x14ac:dyDescent="0.2">
      <c r="A34" s="566" t="s">
        <v>313</v>
      </c>
      <c r="B34" s="566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566"/>
      <c r="P34" s="566"/>
      <c r="Q34" s="566"/>
      <c r="R34" s="566"/>
      <c r="S34" s="566"/>
      <c r="T34" s="566"/>
      <c r="U34" s="461"/>
      <c r="V34" s="461"/>
      <c r="W34" s="461"/>
    </row>
    <row r="35" spans="1:23" ht="10.5" customHeight="1" x14ac:dyDescent="0.2">
      <c r="U35" s="461"/>
      <c r="V35" s="461"/>
      <c r="W35" s="461"/>
    </row>
    <row r="36" spans="1:23" x14ac:dyDescent="0.2">
      <c r="A36" s="576" t="s">
        <v>335</v>
      </c>
      <c r="B36" s="577"/>
      <c r="C36" s="501" t="s">
        <v>277</v>
      </c>
      <c r="D36" s="501" t="s">
        <v>278</v>
      </c>
      <c r="E36" s="514" t="s">
        <v>131</v>
      </c>
    </row>
    <row r="37" spans="1:23" ht="15" customHeight="1" x14ac:dyDescent="0.2">
      <c r="A37" s="515" t="s">
        <v>38</v>
      </c>
      <c r="B37" s="474" t="s">
        <v>331</v>
      </c>
      <c r="C37" s="475">
        <f>C48*669+20</f>
        <v>1224.2</v>
      </c>
      <c r="D37" s="475">
        <f>D48*669+20</f>
        <v>1224.2</v>
      </c>
      <c r="E37" s="516">
        <f>E48*669+20</f>
        <v>1220.1859999999999</v>
      </c>
    </row>
    <row r="38" spans="1:23" ht="15" customHeight="1" x14ac:dyDescent="0.2">
      <c r="A38" s="518" t="s">
        <v>38</v>
      </c>
      <c r="B38" s="519" t="s">
        <v>332</v>
      </c>
      <c r="C38" s="520">
        <f>C48*807+20</f>
        <v>1472.6000000000001</v>
      </c>
      <c r="D38" s="520">
        <f t="shared" ref="D38:E38" si="7">D48*807+20</f>
        <v>1472.6000000000001</v>
      </c>
      <c r="E38" s="520">
        <f t="shared" si="7"/>
        <v>1467.758</v>
      </c>
    </row>
    <row r="39" spans="1:23" ht="26.25" customHeight="1" x14ac:dyDescent="0.2">
      <c r="A39" s="567" t="s">
        <v>348</v>
      </c>
      <c r="B39" s="567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7"/>
      <c r="U39" s="461"/>
      <c r="V39" s="461"/>
      <c r="W39" s="461"/>
    </row>
    <row r="40" spans="1:23" x14ac:dyDescent="0.2">
      <c r="A40" s="578" t="s">
        <v>335</v>
      </c>
      <c r="B40" s="578"/>
      <c r="C40" s="446" t="s">
        <v>277</v>
      </c>
      <c r="D40" s="446" t="s">
        <v>278</v>
      </c>
      <c r="E40" s="446" t="s">
        <v>131</v>
      </c>
    </row>
    <row r="41" spans="1:23" ht="15" customHeight="1" x14ac:dyDescent="0.2">
      <c r="A41" s="499" t="s">
        <v>38</v>
      </c>
      <c r="B41" s="473" t="s">
        <v>331</v>
      </c>
      <c r="C41" s="475">
        <f>ROUNDDOWN(24300/C37,0)</f>
        <v>19</v>
      </c>
      <c r="D41" s="475">
        <f t="shared" ref="D41:E42" si="8">ROUNDDOWN(24300/D37,0)</f>
        <v>19</v>
      </c>
      <c r="E41" s="475">
        <f t="shared" si="8"/>
        <v>19</v>
      </c>
    </row>
    <row r="42" spans="1:23" ht="15" customHeight="1" x14ac:dyDescent="0.2">
      <c r="A42" s="522" t="s">
        <v>38</v>
      </c>
      <c r="B42" s="521" t="s">
        <v>332</v>
      </c>
      <c r="C42" s="520">
        <f>ROUNDDOWN(24300/C38,0)</f>
        <v>16</v>
      </c>
      <c r="D42" s="520">
        <f t="shared" si="8"/>
        <v>16</v>
      </c>
      <c r="E42" s="520">
        <f t="shared" si="8"/>
        <v>16</v>
      </c>
    </row>
    <row r="43" spans="1:23" ht="11.25" customHeight="1" x14ac:dyDescent="0.2">
      <c r="A43" s="584"/>
      <c r="B43" s="584"/>
      <c r="C43" s="584"/>
      <c r="D43" s="584"/>
      <c r="E43" s="584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</row>
    <row r="44" spans="1:23" ht="15" customHeight="1" x14ac:dyDescent="0.2">
      <c r="A44" s="581" t="s">
        <v>191</v>
      </c>
      <c r="B44" s="478" t="s">
        <v>303</v>
      </c>
      <c r="C44" s="478">
        <v>80</v>
      </c>
      <c r="D44" s="478">
        <v>60</v>
      </c>
      <c r="E44" s="478">
        <v>52</v>
      </c>
      <c r="F44" s="449"/>
      <c r="G44" s="212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1:23" ht="15" customHeight="1" x14ac:dyDescent="0.2">
      <c r="A45" s="581"/>
      <c r="B45" s="443" t="s">
        <v>304</v>
      </c>
      <c r="C45" s="443">
        <v>3.33</v>
      </c>
      <c r="D45" s="443">
        <v>3.33</v>
      </c>
      <c r="E45" s="443">
        <v>3.33</v>
      </c>
      <c r="F45" s="449"/>
      <c r="G45" s="212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1:23" ht="15" customHeight="1" x14ac:dyDescent="0.2">
      <c r="A46" s="581"/>
      <c r="B46" s="478" t="s">
        <v>305</v>
      </c>
      <c r="C46" s="480">
        <f>1/0.075/0.5/0.6</f>
        <v>44.44444444444445</v>
      </c>
      <c r="D46" s="480">
        <f>1/0.1/0.5/0.6</f>
        <v>33.333333333333336</v>
      </c>
      <c r="E46" s="480">
        <f>1/0.115/0.5/0.6</f>
        <v>28.985507246376812</v>
      </c>
      <c r="F46" s="450"/>
      <c r="G46" s="451"/>
      <c r="H46" s="451"/>
      <c r="I46" s="451"/>
      <c r="J46" s="451"/>
      <c r="K46" s="451"/>
      <c r="L46" s="451"/>
      <c r="M46" s="451"/>
      <c r="N46" s="451"/>
      <c r="O46" s="451"/>
      <c r="P46" s="451"/>
    </row>
    <row r="47" spans="1:23" ht="15" customHeight="1" x14ac:dyDescent="0.2">
      <c r="A47" s="581"/>
      <c r="B47" s="443" t="s">
        <v>295</v>
      </c>
      <c r="C47" s="444">
        <f>C48/0.075</f>
        <v>24</v>
      </c>
      <c r="D47" s="444">
        <f>D48/0.1</f>
        <v>18</v>
      </c>
      <c r="E47" s="444">
        <f>E48/0.115</f>
        <v>15.6</v>
      </c>
      <c r="F47" s="450"/>
      <c r="G47" s="451"/>
      <c r="H47" s="451"/>
      <c r="I47" s="451"/>
      <c r="J47" s="451"/>
      <c r="K47" s="451"/>
      <c r="L47" s="451"/>
      <c r="M47" s="451"/>
      <c r="N47" s="452"/>
      <c r="O47" s="451"/>
      <c r="P47" s="451"/>
    </row>
    <row r="48" spans="1:23" ht="15" customHeight="1" x14ac:dyDescent="0.2">
      <c r="A48" s="581"/>
      <c r="B48" s="478" t="s">
        <v>296</v>
      </c>
      <c r="C48" s="492">
        <v>1.8</v>
      </c>
      <c r="D48" s="492">
        <v>1.8</v>
      </c>
      <c r="E48" s="492">
        <v>1.794</v>
      </c>
      <c r="F48" s="453"/>
      <c r="G48" s="454"/>
      <c r="H48" s="454"/>
      <c r="I48" s="454"/>
      <c r="J48" s="454"/>
      <c r="K48" s="454"/>
      <c r="L48" s="454"/>
      <c r="M48" s="454"/>
      <c r="N48" s="455"/>
      <c r="O48" s="454"/>
      <c r="P48" s="454"/>
    </row>
    <row r="49" spans="1:23" ht="15" customHeight="1" x14ac:dyDescent="0.2">
      <c r="A49" s="465"/>
      <c r="B49" s="212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5"/>
      <c r="O49" s="454"/>
      <c r="P49" s="454"/>
    </row>
    <row r="50" spans="1:23" x14ac:dyDescent="0.2">
      <c r="A50" s="565" t="s">
        <v>354</v>
      </c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</row>
    <row r="51" spans="1:23" ht="10.5" customHeight="1" x14ac:dyDescent="0.2">
      <c r="A51" s="459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</row>
    <row r="52" spans="1:23" x14ac:dyDescent="0.2">
      <c r="A52" s="566" t="s">
        <v>313</v>
      </c>
      <c r="B52" s="566"/>
      <c r="C52" s="566"/>
      <c r="D52" s="566"/>
      <c r="E52" s="566"/>
      <c r="F52" s="566"/>
      <c r="G52" s="566"/>
      <c r="H52" s="566"/>
      <c r="I52" s="566"/>
      <c r="J52" s="566"/>
      <c r="K52" s="566"/>
      <c r="L52" s="566"/>
      <c r="M52" s="566"/>
      <c r="N52" s="566"/>
      <c r="O52" s="566"/>
      <c r="P52" s="566"/>
      <c r="Q52" s="566"/>
      <c r="R52" s="566"/>
      <c r="S52" s="566"/>
      <c r="T52" s="566"/>
      <c r="U52" s="461"/>
      <c r="V52" s="461"/>
      <c r="W52" s="461"/>
    </row>
    <row r="53" spans="1:23" ht="10.5" customHeight="1" x14ac:dyDescent="0.2">
      <c r="U53" s="461"/>
      <c r="V53" s="461"/>
      <c r="W53" s="461"/>
    </row>
    <row r="54" spans="1:23" x14ac:dyDescent="0.2">
      <c r="A54" s="600" t="s">
        <v>355</v>
      </c>
      <c r="B54" s="601"/>
      <c r="C54" s="501" t="s">
        <v>277</v>
      </c>
      <c r="D54" s="501" t="s">
        <v>278</v>
      </c>
    </row>
    <row r="55" spans="1:23" ht="15" customHeight="1" x14ac:dyDescent="0.2">
      <c r="A55" s="515" t="s">
        <v>38</v>
      </c>
      <c r="B55" s="474" t="s">
        <v>333</v>
      </c>
      <c r="C55" s="475">
        <f>C64*938+20</f>
        <v>1427</v>
      </c>
      <c r="D55" s="475">
        <f>D64*938+20</f>
        <v>1427</v>
      </c>
    </row>
    <row r="56" spans="1:23" x14ac:dyDescent="0.2">
      <c r="A56" s="567" t="s">
        <v>348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461"/>
      <c r="V56" s="461"/>
      <c r="W56" s="461"/>
    </row>
    <row r="57" spans="1:23" x14ac:dyDescent="0.2">
      <c r="A57" s="602" t="s">
        <v>335</v>
      </c>
      <c r="B57" s="603"/>
      <c r="C57" s="446" t="s">
        <v>277</v>
      </c>
      <c r="D57" s="446" t="s">
        <v>278</v>
      </c>
    </row>
    <row r="58" spans="1:23" ht="15" customHeight="1" x14ac:dyDescent="0.2">
      <c r="A58" s="499" t="s">
        <v>38</v>
      </c>
      <c r="B58" s="473" t="s">
        <v>331</v>
      </c>
      <c r="C58" s="475">
        <f>ROUNDDOWN(24000/C55,0)</f>
        <v>16</v>
      </c>
      <c r="D58" s="475">
        <f>ROUNDDOWN(24000/D55,0)</f>
        <v>16</v>
      </c>
    </row>
    <row r="59" spans="1:23" x14ac:dyDescent="0.2">
      <c r="A59" s="527"/>
      <c r="B59" s="527"/>
      <c r="C59" s="527"/>
      <c r="D59" s="527"/>
      <c r="E59" s="6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</row>
    <row r="60" spans="1:23" x14ac:dyDescent="0.2">
      <c r="A60" s="598" t="s">
        <v>191</v>
      </c>
      <c r="B60" s="478" t="s">
        <v>303</v>
      </c>
      <c r="C60" s="478">
        <v>80</v>
      </c>
      <c r="D60" s="478">
        <v>60</v>
      </c>
      <c r="E60" s="449"/>
      <c r="F60" s="212"/>
      <c r="G60" s="212"/>
      <c r="H60" s="212"/>
      <c r="I60" s="212"/>
      <c r="J60" s="212"/>
      <c r="K60" s="212"/>
      <c r="L60" s="212"/>
      <c r="M60" s="212"/>
      <c r="N60" s="212"/>
      <c r="O60" s="212"/>
    </row>
    <row r="61" spans="1:23" ht="13.5" x14ac:dyDescent="0.2">
      <c r="A61" s="599"/>
      <c r="B61" s="443" t="s">
        <v>304</v>
      </c>
      <c r="C61" s="443">
        <f>1/0.5/0.5</f>
        <v>4</v>
      </c>
      <c r="D61" s="443">
        <f>1/0.5/0.5</f>
        <v>4</v>
      </c>
      <c r="E61" s="449"/>
      <c r="F61" s="212"/>
      <c r="G61" s="212"/>
      <c r="H61" s="212"/>
      <c r="I61" s="212"/>
      <c r="J61" s="212"/>
      <c r="K61" s="212"/>
      <c r="L61" s="212"/>
      <c r="M61" s="212"/>
      <c r="N61" s="212"/>
      <c r="O61" s="212"/>
    </row>
    <row r="62" spans="1:23" ht="13.5" x14ac:dyDescent="0.2">
      <c r="A62" s="599"/>
      <c r="B62" s="478" t="s">
        <v>305</v>
      </c>
      <c r="C62" s="480">
        <f>1/0.075/0.5/0.5</f>
        <v>53.333333333333336</v>
      </c>
      <c r="D62" s="480">
        <f>1/0.1/0.5/0.5</f>
        <v>40</v>
      </c>
      <c r="E62" s="450"/>
      <c r="F62" s="451"/>
      <c r="G62" s="451"/>
      <c r="H62" s="451"/>
      <c r="I62" s="451"/>
      <c r="J62" s="451"/>
      <c r="K62" s="451"/>
      <c r="L62" s="451"/>
      <c r="M62" s="451"/>
      <c r="N62" s="451"/>
      <c r="O62" s="451"/>
    </row>
    <row r="63" spans="1:23" ht="13.5" x14ac:dyDescent="0.2">
      <c r="A63" s="599"/>
      <c r="B63" s="443" t="s">
        <v>295</v>
      </c>
      <c r="C63" s="444">
        <f>C64/0.075</f>
        <v>20</v>
      </c>
      <c r="D63" s="444">
        <f>D64/0.1</f>
        <v>15</v>
      </c>
      <c r="E63" s="450"/>
      <c r="F63" s="451"/>
      <c r="G63" s="451"/>
      <c r="H63" s="451"/>
      <c r="I63" s="451"/>
      <c r="J63" s="451"/>
      <c r="K63" s="451"/>
      <c r="L63" s="451"/>
      <c r="M63" s="452"/>
      <c r="N63" s="451"/>
      <c r="O63" s="451"/>
    </row>
    <row r="64" spans="1:23" ht="13.5" x14ac:dyDescent="0.2">
      <c r="A64" s="592"/>
      <c r="B64" s="478" t="s">
        <v>296</v>
      </c>
      <c r="C64" s="492">
        <v>1.5</v>
      </c>
      <c r="D64" s="492">
        <v>1.5</v>
      </c>
      <c r="E64" s="453"/>
      <c r="F64" s="454"/>
      <c r="G64" s="454"/>
      <c r="H64" s="454"/>
      <c r="I64" s="454"/>
      <c r="J64" s="454"/>
      <c r="K64" s="454"/>
      <c r="L64" s="454"/>
      <c r="M64" s="455"/>
      <c r="N64" s="454"/>
      <c r="O64" s="454"/>
    </row>
    <row r="65" spans="1:23" x14ac:dyDescent="0.2">
      <c r="A65" s="465"/>
      <c r="B65" s="212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5"/>
      <c r="O65" s="454"/>
      <c r="P65" s="454"/>
    </row>
    <row r="66" spans="1:23" x14ac:dyDescent="0.2">
      <c r="A66" s="565" t="s">
        <v>326</v>
      </c>
      <c r="B66" s="565"/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</row>
    <row r="67" spans="1:23" ht="10.5" customHeight="1" x14ac:dyDescent="0.2">
      <c r="A67" s="459"/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</row>
    <row r="68" spans="1:23" ht="10.5" customHeight="1" x14ac:dyDescent="0.2">
      <c r="A68" s="566" t="s">
        <v>313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461"/>
      <c r="V68" s="461"/>
      <c r="W68" s="461"/>
    </row>
    <row r="69" spans="1:23" ht="10.5" customHeight="1" x14ac:dyDescent="0.2">
      <c r="U69" s="461"/>
      <c r="V69" s="461"/>
      <c r="W69" s="461"/>
    </row>
    <row r="70" spans="1:23" x14ac:dyDescent="0.2">
      <c r="A70" s="578" t="s">
        <v>346</v>
      </c>
      <c r="B70" s="578"/>
      <c r="C70" s="446" t="s">
        <v>325</v>
      </c>
      <c r="D70" s="446" t="s">
        <v>278</v>
      </c>
    </row>
    <row r="71" spans="1:23" ht="15" customHeight="1" x14ac:dyDescent="0.2">
      <c r="A71" s="499" t="s">
        <v>327</v>
      </c>
      <c r="B71" s="473" t="s">
        <v>328</v>
      </c>
      <c r="C71" s="463">
        <f>C79*793+20</f>
        <v>933.53599999999994</v>
      </c>
      <c r="D71" s="463">
        <f>D79*793+20</f>
        <v>933.53599999999994</v>
      </c>
    </row>
    <row r="72" spans="1:23" ht="10.5" customHeight="1" x14ac:dyDescent="0.2">
      <c r="A72" s="584"/>
      <c r="B72" s="584"/>
      <c r="C72" s="584"/>
      <c r="D72" s="584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</row>
    <row r="73" spans="1:23" ht="15" customHeight="1" x14ac:dyDescent="0.2">
      <c r="A73" s="581" t="s">
        <v>191</v>
      </c>
      <c r="B73" s="478" t="s">
        <v>303</v>
      </c>
      <c r="C73" s="478">
        <v>192</v>
      </c>
      <c r="D73" s="478">
        <v>96</v>
      </c>
      <c r="E73" s="449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23" ht="15" customHeight="1" x14ac:dyDescent="0.2">
      <c r="A74" s="581"/>
      <c r="B74" s="443" t="s">
        <v>343</v>
      </c>
      <c r="C74" s="443">
        <v>6</v>
      </c>
      <c r="D74" s="443">
        <v>3</v>
      </c>
      <c r="E74" s="449"/>
      <c r="F74" s="212"/>
      <c r="G74" s="212"/>
      <c r="H74" s="212"/>
      <c r="I74" s="212"/>
      <c r="J74" s="212"/>
      <c r="K74" s="212"/>
      <c r="L74" s="212"/>
      <c r="M74" s="212"/>
      <c r="N74" s="212"/>
      <c r="O74" s="212"/>
    </row>
    <row r="75" spans="1:23" ht="15" customHeight="1" x14ac:dyDescent="0.2">
      <c r="A75" s="581"/>
      <c r="B75" s="478" t="s">
        <v>344</v>
      </c>
      <c r="C75" s="478">
        <v>32</v>
      </c>
      <c r="D75" s="478">
        <v>32</v>
      </c>
      <c r="E75" s="449"/>
      <c r="F75" s="212"/>
      <c r="G75" s="212"/>
      <c r="H75" s="212"/>
      <c r="I75" s="212"/>
      <c r="J75" s="212"/>
      <c r="K75" s="212"/>
      <c r="L75" s="212"/>
      <c r="M75" s="212"/>
      <c r="N75" s="212"/>
      <c r="O75" s="212"/>
    </row>
    <row r="76" spans="1:23" ht="15" customHeight="1" x14ac:dyDescent="0.2">
      <c r="A76" s="581"/>
      <c r="B76" s="443" t="s">
        <v>304</v>
      </c>
      <c r="C76" s="444">
        <f>1/0.2/0.6</f>
        <v>8.3333333333333339</v>
      </c>
      <c r="D76" s="444">
        <f>1/0.2/0.6</f>
        <v>8.3333333333333339</v>
      </c>
      <c r="E76" s="449"/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23" ht="15" customHeight="1" x14ac:dyDescent="0.2">
      <c r="A77" s="581"/>
      <c r="B77" s="478" t="s">
        <v>305</v>
      </c>
      <c r="C77" s="480">
        <f>1/0.05/0.2/0.6</f>
        <v>166.66666666666669</v>
      </c>
      <c r="D77" s="480">
        <f>1/0.1/0.2/0.6</f>
        <v>83.333333333333343</v>
      </c>
      <c r="E77" s="450"/>
      <c r="F77" s="451"/>
      <c r="G77" s="451"/>
      <c r="H77" s="451"/>
      <c r="I77" s="451"/>
      <c r="J77" s="451"/>
      <c r="K77" s="451"/>
      <c r="L77" s="451"/>
      <c r="M77" s="451"/>
      <c r="N77" s="451"/>
      <c r="O77" s="451"/>
    </row>
    <row r="78" spans="1:23" ht="15" customHeight="1" x14ac:dyDescent="0.2">
      <c r="A78" s="581"/>
      <c r="B78" s="443" t="s">
        <v>295</v>
      </c>
      <c r="C78" s="444">
        <f>C79/0.05</f>
        <v>23.039999999999996</v>
      </c>
      <c r="D78" s="444">
        <f>D79/0.1</f>
        <v>11.519999999999998</v>
      </c>
      <c r="E78" s="450"/>
      <c r="F78" s="451"/>
      <c r="G78" s="451"/>
      <c r="H78" s="451"/>
      <c r="I78" s="451"/>
      <c r="J78" s="451"/>
      <c r="K78" s="451"/>
      <c r="L78" s="451"/>
      <c r="M78" s="452"/>
      <c r="N78" s="451"/>
      <c r="O78" s="451"/>
    </row>
    <row r="79" spans="1:23" ht="15" customHeight="1" x14ac:dyDescent="0.2">
      <c r="A79" s="581"/>
      <c r="B79" s="478" t="s">
        <v>296</v>
      </c>
      <c r="C79" s="492">
        <v>1.1519999999999999</v>
      </c>
      <c r="D79" s="492">
        <v>1.1519999999999999</v>
      </c>
      <c r="E79" s="453"/>
      <c r="F79" s="454"/>
      <c r="G79" s="454"/>
      <c r="H79" s="454"/>
      <c r="I79" s="454"/>
      <c r="J79" s="454"/>
      <c r="K79" s="454"/>
      <c r="L79" s="454"/>
      <c r="M79" s="455"/>
      <c r="N79" s="454"/>
      <c r="O79" s="454"/>
    </row>
    <row r="80" spans="1:23" ht="14.25" customHeight="1" x14ac:dyDescent="0.2">
      <c r="A80" s="465"/>
      <c r="B80" s="212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5"/>
      <c r="O80" s="454"/>
      <c r="P80" s="454"/>
    </row>
    <row r="81" spans="1:46" ht="15" customHeight="1" x14ac:dyDescent="0.2">
      <c r="A81" s="563" t="s">
        <v>285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3"/>
      <c r="N81" s="563"/>
      <c r="O81" s="563"/>
      <c r="P81" s="563"/>
      <c r="Q81" s="563"/>
      <c r="R81" s="563"/>
      <c r="S81" s="563"/>
      <c r="T81" s="563"/>
    </row>
    <row r="82" spans="1:46" s="447" customFormat="1" ht="15" customHeight="1" x14ac:dyDescent="0.2">
      <c r="A82" s="517"/>
      <c r="B82" s="517"/>
      <c r="C82" s="517"/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</row>
    <row r="83" spans="1:46" x14ac:dyDescent="0.2">
      <c r="A83" s="575" t="s">
        <v>313</v>
      </c>
      <c r="B83" s="575"/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  <c r="T83" s="575"/>
    </row>
    <row r="84" spans="1:46" ht="10.5" customHeight="1" x14ac:dyDescent="0.2">
      <c r="A84" s="460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</row>
    <row r="85" spans="1:46" ht="12.75" customHeight="1" x14ac:dyDescent="0.2">
      <c r="A85" s="577" t="s">
        <v>336</v>
      </c>
      <c r="B85" s="577"/>
      <c r="C85" s="501" t="s">
        <v>293</v>
      </c>
      <c r="D85" s="501" t="s">
        <v>279</v>
      </c>
      <c r="E85" s="501" t="s">
        <v>306</v>
      </c>
      <c r="F85" s="501" t="s">
        <v>192</v>
      </c>
      <c r="G85" s="594" t="s">
        <v>319</v>
      </c>
      <c r="H85" s="595"/>
      <c r="I85" s="594" t="s">
        <v>320</v>
      </c>
      <c r="J85" s="595"/>
      <c r="K85" s="594" t="s">
        <v>321</v>
      </c>
      <c r="L85" s="595"/>
      <c r="M85" s="501" t="s">
        <v>136</v>
      </c>
      <c r="N85" s="501" t="s">
        <v>177</v>
      </c>
      <c r="O85" s="501" t="s">
        <v>178</v>
      </c>
      <c r="P85" s="494"/>
    </row>
    <row r="86" spans="1:46" s="447" customFormat="1" x14ac:dyDescent="0.2">
      <c r="A86" s="564" t="s">
        <v>36</v>
      </c>
      <c r="B86" s="474" t="s">
        <v>337</v>
      </c>
      <c r="C86" s="475" t="s">
        <v>127</v>
      </c>
      <c r="D86" s="475" t="s">
        <v>127</v>
      </c>
      <c r="E86" s="475" t="s">
        <v>127</v>
      </c>
      <c r="F86" s="475">
        <f>682*F133+20</f>
        <v>1132.4784</v>
      </c>
      <c r="G86" s="475">
        <f t="shared" ref="G86" si="9">682*G133+20</f>
        <v>1132.4784</v>
      </c>
      <c r="H86" s="475" t="s">
        <v>127</v>
      </c>
      <c r="I86" s="475">
        <f>682*I133+20</f>
        <v>1101.5838000000001</v>
      </c>
      <c r="J86" s="475" t="s">
        <v>127</v>
      </c>
      <c r="K86" s="475">
        <f>682*K133+20</f>
        <v>1132.4784</v>
      </c>
      <c r="L86" s="475" t="s">
        <v>127</v>
      </c>
      <c r="M86" s="475">
        <f>682*M133+20</f>
        <v>1178.8543999999999</v>
      </c>
      <c r="N86" s="475">
        <f>682*N133+20</f>
        <v>1132.4784</v>
      </c>
      <c r="O86" s="475">
        <f>682*O133+20</f>
        <v>993.41859999999997</v>
      </c>
      <c r="P86" s="472"/>
    </row>
    <row r="87" spans="1:46" ht="12.75" customHeight="1" x14ac:dyDescent="0.2">
      <c r="A87" s="564"/>
      <c r="B87" s="488" t="s">
        <v>328</v>
      </c>
      <c r="C87" s="489">
        <f>797*D133+20</f>
        <v>1320.0663999999999</v>
      </c>
      <c r="D87" s="489">
        <f>797*D133+20</f>
        <v>1320.0663999999999</v>
      </c>
      <c r="E87" s="489">
        <f t="shared" ref="E87:G87" si="10">797*E133+20</f>
        <v>1374.2624000000001</v>
      </c>
      <c r="F87" s="489">
        <f t="shared" si="10"/>
        <v>1320.0663999999999</v>
      </c>
      <c r="G87" s="489">
        <f t="shared" si="10"/>
        <v>1320.0663999999999</v>
      </c>
      <c r="H87" s="489" t="s">
        <v>127</v>
      </c>
      <c r="I87" s="489">
        <f>797*I133+20</f>
        <v>1283.9623000000001</v>
      </c>
      <c r="J87" s="489" t="s">
        <v>127</v>
      </c>
      <c r="K87" s="489">
        <f>797*K133+20</f>
        <v>1320.0663999999999</v>
      </c>
      <c r="L87" s="489">
        <f>797*1.037+20</f>
        <v>846.48899999999992</v>
      </c>
      <c r="M87" s="489">
        <f>797*M133+20</f>
        <v>1374.2624000000001</v>
      </c>
      <c r="N87" s="489">
        <f>797*N133+20</f>
        <v>1320.0663999999999</v>
      </c>
      <c r="O87" s="489">
        <f>797*O133+20</f>
        <v>1157.5581</v>
      </c>
      <c r="P87" s="472"/>
    </row>
    <row r="88" spans="1:46" ht="12.75" customHeight="1" x14ac:dyDescent="0.2">
      <c r="A88" s="564"/>
      <c r="B88" s="496" t="s">
        <v>338</v>
      </c>
      <c r="C88" s="497" t="s">
        <v>127</v>
      </c>
      <c r="D88" s="497">
        <f>903.5*D133+20</f>
        <v>1493.7891999999999</v>
      </c>
      <c r="E88" s="497" t="s">
        <v>127</v>
      </c>
      <c r="F88" s="497">
        <f>903.5*F133+20</f>
        <v>1493.7891999999999</v>
      </c>
      <c r="G88" s="497">
        <f>903.5*G133+20</f>
        <v>1493.7891999999999</v>
      </c>
      <c r="H88" s="497" t="s">
        <v>127</v>
      </c>
      <c r="I88" s="497" t="s">
        <v>127</v>
      </c>
      <c r="J88" s="497" t="s">
        <v>127</v>
      </c>
      <c r="K88" s="497">
        <f>903.5*K133+20</f>
        <v>1493.7891999999999</v>
      </c>
      <c r="L88" s="497">
        <f>903.5*1.037+20</f>
        <v>956.92949999999996</v>
      </c>
      <c r="M88" s="497">
        <f>903.5*M133+20</f>
        <v>1555.2272</v>
      </c>
      <c r="N88" s="497" t="s">
        <v>127</v>
      </c>
      <c r="O88" s="497" t="s">
        <v>127</v>
      </c>
      <c r="P88" s="472"/>
    </row>
    <row r="89" spans="1:46" ht="12.75" customHeight="1" x14ac:dyDescent="0.2">
      <c r="A89" s="564"/>
      <c r="B89" s="502" t="s">
        <v>339</v>
      </c>
      <c r="C89" s="503" t="s">
        <v>127</v>
      </c>
      <c r="D89" s="503" t="s">
        <v>127</v>
      </c>
      <c r="E89" s="503" t="s">
        <v>127</v>
      </c>
      <c r="F89" s="503" t="s">
        <v>127</v>
      </c>
      <c r="G89" s="503" t="s">
        <v>127</v>
      </c>
      <c r="H89" s="503">
        <f>1040*1.037+20</f>
        <v>1098.48</v>
      </c>
      <c r="I89" s="503" t="s">
        <v>127</v>
      </c>
      <c r="J89" s="503">
        <f>1040*1.008+20</f>
        <v>1068.32</v>
      </c>
      <c r="K89" s="503" t="s">
        <v>127</v>
      </c>
      <c r="L89" s="503">
        <f>1040*1.037+20</f>
        <v>1098.48</v>
      </c>
      <c r="M89" s="503" t="s">
        <v>127</v>
      </c>
      <c r="N89" s="503" t="s">
        <v>127</v>
      </c>
      <c r="O89" s="503" t="s">
        <v>127</v>
      </c>
      <c r="P89" s="472"/>
    </row>
    <row r="90" spans="1:46" ht="15" customHeight="1" x14ac:dyDescent="0.2">
      <c r="A90" s="564" t="s">
        <v>37</v>
      </c>
      <c r="B90" s="474" t="s">
        <v>337</v>
      </c>
      <c r="C90" s="475" t="s">
        <v>127</v>
      </c>
      <c r="D90" s="475" t="s">
        <v>127</v>
      </c>
      <c r="E90" s="475" t="s">
        <v>127</v>
      </c>
      <c r="F90" s="475">
        <f>640*F133+20</f>
        <v>1063.9680000000001</v>
      </c>
      <c r="G90" s="475">
        <f>640*G133+20</f>
        <v>1063.9680000000001</v>
      </c>
      <c r="H90" s="475" t="s">
        <v>127</v>
      </c>
      <c r="I90" s="475">
        <f>640*I133+20</f>
        <v>1034.9760000000001</v>
      </c>
      <c r="J90" s="475" t="s">
        <v>127</v>
      </c>
      <c r="K90" s="475">
        <f>640*K133+20</f>
        <v>1063.9680000000001</v>
      </c>
      <c r="L90" s="475" t="s">
        <v>127</v>
      </c>
      <c r="M90" s="475">
        <f>640*M133+20</f>
        <v>1107.4880000000001</v>
      </c>
      <c r="N90" s="475">
        <f>640*N133+20</f>
        <v>1063.9680000000001</v>
      </c>
      <c r="O90" s="475">
        <f>640*O133+20</f>
        <v>933.47199999999998</v>
      </c>
      <c r="P90" s="472"/>
    </row>
    <row r="91" spans="1:46" ht="15" customHeight="1" x14ac:dyDescent="0.2">
      <c r="A91" s="564"/>
      <c r="B91" s="488" t="s">
        <v>328</v>
      </c>
      <c r="C91" s="489">
        <v>1314</v>
      </c>
      <c r="D91" s="489">
        <f>793*D133+20</f>
        <v>1313.5416</v>
      </c>
      <c r="E91" s="489">
        <f>793*1.6992+20</f>
        <v>1367.4656</v>
      </c>
      <c r="F91" s="489">
        <f t="shared" ref="F91:G91" si="11">793*F133+20</f>
        <v>1313.5416</v>
      </c>
      <c r="G91" s="489">
        <f t="shared" si="11"/>
        <v>1313.5416</v>
      </c>
      <c r="H91" s="489" t="s">
        <v>127</v>
      </c>
      <c r="I91" s="489">
        <f>793*I133+20</f>
        <v>1277.6187</v>
      </c>
      <c r="J91" s="489" t="s">
        <v>127</v>
      </c>
      <c r="K91" s="489">
        <f>793*K133+20</f>
        <v>1313.5416</v>
      </c>
      <c r="L91" s="489" t="s">
        <v>127</v>
      </c>
      <c r="M91" s="489">
        <f>793*M133+20</f>
        <v>1367.4656</v>
      </c>
      <c r="N91" s="489">
        <f>793*N133+20</f>
        <v>1313.5416</v>
      </c>
      <c r="O91" s="489">
        <f>793*O133+20</f>
        <v>1151.8489</v>
      </c>
      <c r="P91" s="472"/>
    </row>
    <row r="92" spans="1:46" ht="15" customHeight="1" x14ac:dyDescent="0.2">
      <c r="A92" s="564"/>
      <c r="B92" s="496" t="s">
        <v>338</v>
      </c>
      <c r="C92" s="497" t="s">
        <v>127</v>
      </c>
      <c r="D92" s="497">
        <f>903.5*D133+20</f>
        <v>1493.7891999999999</v>
      </c>
      <c r="E92" s="497">
        <f>903.5*1.6992+20</f>
        <v>1555.2272</v>
      </c>
      <c r="F92" s="497">
        <f>903.5*F133+20</f>
        <v>1493.7891999999999</v>
      </c>
      <c r="G92" s="497">
        <f>903.5*G133+20</f>
        <v>1493.7891999999999</v>
      </c>
      <c r="H92" s="497" t="s">
        <v>127</v>
      </c>
      <c r="I92" s="497" t="s">
        <v>127</v>
      </c>
      <c r="J92" s="497" t="s">
        <v>127</v>
      </c>
      <c r="K92" s="497">
        <f>903.5*K133+20</f>
        <v>1493.7891999999999</v>
      </c>
      <c r="L92" s="497" t="s">
        <v>127</v>
      </c>
      <c r="M92" s="497">
        <f>903.5*M133+20</f>
        <v>1555.2272</v>
      </c>
      <c r="N92" s="497" t="s">
        <v>127</v>
      </c>
      <c r="O92" s="497" t="s">
        <v>127</v>
      </c>
      <c r="P92" s="472"/>
    </row>
    <row r="93" spans="1:46" ht="12.75" customHeight="1" x14ac:dyDescent="0.2">
      <c r="A93" s="564" t="s">
        <v>39</v>
      </c>
      <c r="B93" s="474" t="s">
        <v>337</v>
      </c>
      <c r="C93" s="475" t="s">
        <v>127</v>
      </c>
      <c r="D93" s="475" t="s">
        <v>127</v>
      </c>
      <c r="E93" s="475" t="s">
        <v>127</v>
      </c>
      <c r="F93" s="475">
        <f>674*F133+20</f>
        <v>1119.4287999999999</v>
      </c>
      <c r="G93" s="475">
        <f t="shared" ref="G93" si="12">674*G133+20</f>
        <v>1119.4287999999999</v>
      </c>
      <c r="H93" s="475" t="s">
        <v>127</v>
      </c>
      <c r="I93" s="475">
        <f>674*I133+20</f>
        <v>1088.8966</v>
      </c>
      <c r="J93" s="475" t="s">
        <v>127</v>
      </c>
      <c r="K93" s="475">
        <f>674*K133+20</f>
        <v>1119.4287999999999</v>
      </c>
      <c r="L93" s="475" t="s">
        <v>127</v>
      </c>
      <c r="M93" s="475">
        <f>674*M133+20</f>
        <v>1165.2608</v>
      </c>
      <c r="N93" s="475">
        <f>674*N133+20</f>
        <v>1119.4287999999999</v>
      </c>
      <c r="O93" s="475">
        <f>674*O133+20</f>
        <v>982.00020000000006</v>
      </c>
      <c r="P93" s="472"/>
    </row>
    <row r="94" spans="1:46" ht="15" customHeight="1" x14ac:dyDescent="0.2">
      <c r="A94" s="564"/>
      <c r="B94" s="488" t="s">
        <v>328</v>
      </c>
      <c r="C94" s="489">
        <v>1309</v>
      </c>
      <c r="D94" s="489">
        <f t="shared" ref="D94:G94" si="13">790*D133+20</f>
        <v>1308.6479999999999</v>
      </c>
      <c r="E94" s="489">
        <f t="shared" si="13"/>
        <v>1362.3679999999999</v>
      </c>
      <c r="F94" s="489">
        <f t="shared" si="13"/>
        <v>1308.6479999999999</v>
      </c>
      <c r="G94" s="489">
        <f t="shared" si="13"/>
        <v>1308.6479999999999</v>
      </c>
      <c r="H94" s="489" t="s">
        <v>127</v>
      </c>
      <c r="I94" s="489">
        <f>790*I133+20</f>
        <v>1272.8610000000001</v>
      </c>
      <c r="J94" s="489" t="s">
        <v>127</v>
      </c>
      <c r="K94" s="489">
        <f>790*K133+20</f>
        <v>1308.6479999999999</v>
      </c>
      <c r="L94" s="489" t="s">
        <v>127</v>
      </c>
      <c r="M94" s="489">
        <f>790*M133+20</f>
        <v>1362.3679999999999</v>
      </c>
      <c r="N94" s="489">
        <f>790*N133+20</f>
        <v>1308.6479999999999</v>
      </c>
      <c r="O94" s="489">
        <f>790*O133+20</f>
        <v>1147.567</v>
      </c>
      <c r="P94" s="472"/>
    </row>
    <row r="95" spans="1:46" ht="15" customHeight="1" x14ac:dyDescent="0.2">
      <c r="A95" s="564"/>
      <c r="B95" s="496" t="s">
        <v>338</v>
      </c>
      <c r="C95" s="497" t="s">
        <v>127</v>
      </c>
      <c r="D95" s="497">
        <f>903.5*D133+20</f>
        <v>1493.7891999999999</v>
      </c>
      <c r="E95" s="497" t="s">
        <v>127</v>
      </c>
      <c r="F95" s="497">
        <f>903.5*F133+20</f>
        <v>1493.7891999999999</v>
      </c>
      <c r="G95" s="497">
        <f>903.5*G133+20</f>
        <v>1493.7891999999999</v>
      </c>
      <c r="H95" s="497" t="s">
        <v>127</v>
      </c>
      <c r="I95" s="497" t="s">
        <v>127</v>
      </c>
      <c r="J95" s="497" t="s">
        <v>127</v>
      </c>
      <c r="K95" s="497">
        <f>903.5*K133+20</f>
        <v>1493.7891999999999</v>
      </c>
      <c r="L95" s="497" t="s">
        <v>127</v>
      </c>
      <c r="M95" s="497">
        <f>903.5*M133+20</f>
        <v>1555.2272</v>
      </c>
      <c r="N95" s="497" t="s">
        <v>127</v>
      </c>
      <c r="O95" s="497" t="s">
        <v>127</v>
      </c>
      <c r="P95" s="472"/>
    </row>
    <row r="96" spans="1:46" ht="15" customHeight="1" x14ac:dyDescent="0.2">
      <c r="A96" s="564"/>
      <c r="B96" s="502" t="s">
        <v>339</v>
      </c>
      <c r="C96" s="503" t="s">
        <v>127</v>
      </c>
      <c r="D96" s="503" t="s">
        <v>127</v>
      </c>
      <c r="E96" s="503" t="s">
        <v>127</v>
      </c>
      <c r="F96" s="503" t="s">
        <v>127</v>
      </c>
      <c r="G96" s="503" t="s">
        <v>127</v>
      </c>
      <c r="H96" s="503">
        <f>1040*1.037+20</f>
        <v>1098.48</v>
      </c>
      <c r="I96" s="503" t="s">
        <v>127</v>
      </c>
      <c r="J96" s="503">
        <f>1040*1.008+20</f>
        <v>1068.32</v>
      </c>
      <c r="K96" s="503" t="s">
        <v>127</v>
      </c>
      <c r="L96" s="503">
        <f>1040*1.037+20</f>
        <v>1098.48</v>
      </c>
      <c r="M96" s="503" t="s">
        <v>127</v>
      </c>
      <c r="N96" s="503" t="s">
        <v>127</v>
      </c>
      <c r="O96" s="503" t="s">
        <v>127</v>
      </c>
      <c r="P96" s="472"/>
    </row>
    <row r="97" spans="1:20" ht="15" hidden="1" customHeight="1" x14ac:dyDescent="0.2">
      <c r="A97" s="564" t="s">
        <v>38</v>
      </c>
      <c r="B97" s="474">
        <v>500</v>
      </c>
      <c r="C97" s="475" t="s">
        <v>127</v>
      </c>
      <c r="D97" s="475" t="s">
        <v>127</v>
      </c>
      <c r="E97" s="475" t="s">
        <v>127</v>
      </c>
      <c r="F97" s="475">
        <f>F133*618+20</f>
        <v>1028.0816</v>
      </c>
      <c r="G97" s="475" t="s">
        <v>127</v>
      </c>
      <c r="H97" s="475"/>
      <c r="I97" s="475" t="s">
        <v>127</v>
      </c>
      <c r="J97" s="475"/>
      <c r="K97" s="475">
        <f>K133*618+20</f>
        <v>1028.0816</v>
      </c>
      <c r="L97" s="475"/>
      <c r="M97" s="475" t="s">
        <v>127</v>
      </c>
      <c r="N97" s="475" t="s">
        <v>127</v>
      </c>
      <c r="O97" s="475" t="s">
        <v>127</v>
      </c>
      <c r="P97" s="472"/>
    </row>
    <row r="98" spans="1:20" ht="15" hidden="1" customHeight="1" x14ac:dyDescent="0.2">
      <c r="A98" s="564"/>
      <c r="B98" s="488">
        <v>600</v>
      </c>
      <c r="C98" s="489">
        <f>1.6086*807+20</f>
        <v>1318.1402</v>
      </c>
      <c r="D98" s="489">
        <f>D133*807+20</f>
        <v>1336.3784000000001</v>
      </c>
      <c r="E98" s="489" t="s">
        <v>127</v>
      </c>
      <c r="F98" s="489">
        <f t="shared" ref="F98" si="14">F133*807+20</f>
        <v>1336.3784000000001</v>
      </c>
      <c r="G98" s="489" t="s">
        <v>127</v>
      </c>
      <c r="H98" s="489"/>
      <c r="I98" s="489" t="s">
        <v>127</v>
      </c>
      <c r="J98" s="489"/>
      <c r="K98" s="489">
        <f>K133*807+20</f>
        <v>1336.3784000000001</v>
      </c>
      <c r="L98" s="489" t="s">
        <v>127</v>
      </c>
      <c r="M98" s="489" t="s">
        <v>127</v>
      </c>
      <c r="N98" s="489" t="s">
        <v>127</v>
      </c>
      <c r="O98" s="489" t="s">
        <v>127</v>
      </c>
      <c r="P98" s="472"/>
    </row>
    <row r="99" spans="1:20" ht="15" customHeight="1" x14ac:dyDescent="0.2">
      <c r="A99" s="564" t="s">
        <v>308</v>
      </c>
      <c r="B99" s="490" t="s">
        <v>340</v>
      </c>
      <c r="C99" s="491" t="s">
        <v>127</v>
      </c>
      <c r="D99" s="491" t="s">
        <v>127</v>
      </c>
      <c r="E99" s="491" t="s">
        <v>127</v>
      </c>
      <c r="F99" s="491" t="s">
        <v>127</v>
      </c>
      <c r="G99" s="491" t="s">
        <v>127</v>
      </c>
      <c r="H99" s="491" t="s">
        <v>127</v>
      </c>
      <c r="I99" s="491" t="s">
        <v>127</v>
      </c>
      <c r="J99" s="491" t="s">
        <v>127</v>
      </c>
      <c r="K99" s="491">
        <f>K$139*588+20</f>
        <v>739.71199999999999</v>
      </c>
      <c r="L99" s="491" t="s">
        <v>127</v>
      </c>
      <c r="M99" s="491">
        <f>M$139*588+20</f>
        <v>769.11199999999997</v>
      </c>
      <c r="N99" s="491">
        <f>N$139*588+20</f>
        <v>739.71199999999999</v>
      </c>
      <c r="O99" s="491">
        <f>O$139*588+20</f>
        <v>649.16000000000008</v>
      </c>
      <c r="P99" s="472"/>
    </row>
    <row r="100" spans="1:20" ht="15" customHeight="1" x14ac:dyDescent="0.2">
      <c r="A100" s="564"/>
      <c r="B100" s="474" t="s">
        <v>341</v>
      </c>
      <c r="C100" s="475" t="s">
        <v>127</v>
      </c>
      <c r="D100" s="475" t="s">
        <v>127</v>
      </c>
      <c r="E100" s="475" t="s">
        <v>127</v>
      </c>
      <c r="F100" s="475">
        <f>F$139*658+20</f>
        <v>825.39199999999994</v>
      </c>
      <c r="G100" s="475">
        <f t="shared" ref="G100" si="15">G$139*658+20</f>
        <v>825.39199999999994</v>
      </c>
      <c r="H100" s="475" t="s">
        <v>127</v>
      </c>
      <c r="I100" s="475">
        <f>I$139*658+20</f>
        <v>802.36200000000008</v>
      </c>
      <c r="J100" s="475" t="s">
        <v>127</v>
      </c>
      <c r="K100" s="475">
        <f>K$139*658+20</f>
        <v>825.39199999999994</v>
      </c>
      <c r="L100" s="475" t="s">
        <v>127</v>
      </c>
      <c r="M100" s="475">
        <f>M$139*658+20</f>
        <v>858.29200000000003</v>
      </c>
      <c r="N100" s="475">
        <f>N$139*658+20</f>
        <v>825.39199999999994</v>
      </c>
      <c r="O100" s="475">
        <f>O$139*658+20</f>
        <v>724.06000000000006</v>
      </c>
      <c r="P100" s="472"/>
    </row>
    <row r="101" spans="1:20" ht="15" customHeight="1" x14ac:dyDescent="0.2">
      <c r="A101" s="564"/>
      <c r="B101" s="488" t="s">
        <v>328</v>
      </c>
      <c r="C101" s="489">
        <f>C$139*759+20</f>
        <v>949.01599999999996</v>
      </c>
      <c r="D101" s="489">
        <f t="shared" ref="D101:G101" si="16">D$139*759+20</f>
        <v>949.01599999999996</v>
      </c>
      <c r="E101" s="489">
        <f t="shared" si="16"/>
        <v>986.96600000000001</v>
      </c>
      <c r="F101" s="489">
        <f t="shared" si="16"/>
        <v>949.01599999999996</v>
      </c>
      <c r="G101" s="489">
        <f t="shared" si="16"/>
        <v>949.01599999999996</v>
      </c>
      <c r="H101" s="489" t="s">
        <v>127</v>
      </c>
      <c r="I101" s="489">
        <f>I$139*759+20</f>
        <v>922.45100000000002</v>
      </c>
      <c r="J101" s="489" t="s">
        <v>127</v>
      </c>
      <c r="K101" s="489">
        <f>K$139*759+20</f>
        <v>949.01599999999996</v>
      </c>
      <c r="L101" s="489" t="s">
        <v>127</v>
      </c>
      <c r="M101" s="489">
        <f>M$139*759+20</f>
        <v>986.96600000000001</v>
      </c>
      <c r="N101" s="489">
        <f>N$139*759+20</f>
        <v>949.01599999999996</v>
      </c>
      <c r="O101" s="489">
        <f>O$139*759+20</f>
        <v>832.13</v>
      </c>
      <c r="P101" s="472"/>
    </row>
    <row r="102" spans="1:20" ht="15" customHeight="1" x14ac:dyDescent="0.2">
      <c r="A102" s="564"/>
      <c r="B102" s="496" t="s">
        <v>338</v>
      </c>
      <c r="C102" s="497" t="s">
        <v>127</v>
      </c>
      <c r="D102" s="497">
        <f>D$139*900+20</f>
        <v>1121.5999999999999</v>
      </c>
      <c r="E102" s="497" t="s">
        <v>127</v>
      </c>
      <c r="F102" s="497">
        <f>F$139*900+20</f>
        <v>1121.5999999999999</v>
      </c>
      <c r="G102" s="497">
        <f>G$139*900+20</f>
        <v>1121.5999999999999</v>
      </c>
      <c r="H102" s="497" t="s">
        <v>127</v>
      </c>
      <c r="I102" s="497" t="s">
        <v>127</v>
      </c>
      <c r="J102" s="497" t="s">
        <v>127</v>
      </c>
      <c r="K102" s="497">
        <f>K$139*900+20</f>
        <v>1121.5999999999999</v>
      </c>
      <c r="L102" s="497" t="s">
        <v>127</v>
      </c>
      <c r="M102" s="497">
        <f>M$139*900+20</f>
        <v>1166.5999999999999</v>
      </c>
      <c r="N102" s="497" t="s">
        <v>127</v>
      </c>
      <c r="O102" s="497" t="s">
        <v>127</v>
      </c>
      <c r="P102" s="472"/>
    </row>
    <row r="103" spans="1:20" ht="15" customHeight="1" x14ac:dyDescent="0.2">
      <c r="A103" s="564" t="s">
        <v>311</v>
      </c>
      <c r="B103" s="490" t="s">
        <v>340</v>
      </c>
      <c r="C103" s="491" t="s">
        <v>127</v>
      </c>
      <c r="D103" s="491" t="s">
        <v>127</v>
      </c>
      <c r="E103" s="491" t="s">
        <v>127</v>
      </c>
      <c r="F103" s="491" t="s">
        <v>127</v>
      </c>
      <c r="G103" s="491" t="s">
        <v>127</v>
      </c>
      <c r="H103" s="491" t="s">
        <v>127</v>
      </c>
      <c r="I103" s="491" t="s">
        <v>127</v>
      </c>
      <c r="J103" s="491" t="s">
        <v>127</v>
      </c>
      <c r="K103" s="491">
        <f>K$145*540</f>
        <v>880.74</v>
      </c>
      <c r="L103" s="491" t="s">
        <v>127</v>
      </c>
      <c r="M103" s="491">
        <f>M$145*540</f>
        <v>917.46</v>
      </c>
      <c r="N103" s="491">
        <f>N$145*540</f>
        <v>880.74</v>
      </c>
      <c r="O103" s="491">
        <f>O$145*540</f>
        <v>770.58</v>
      </c>
      <c r="P103" s="472"/>
    </row>
    <row r="104" spans="1:20" ht="15" customHeight="1" x14ac:dyDescent="0.2">
      <c r="A104" s="564"/>
      <c r="B104" s="474" t="s">
        <v>337</v>
      </c>
      <c r="C104" s="475" t="s">
        <v>127</v>
      </c>
      <c r="D104" s="475" t="s">
        <v>127</v>
      </c>
      <c r="E104" s="475" t="s">
        <v>127</v>
      </c>
      <c r="F104" s="475">
        <f>F$145*625</f>
        <v>1019.375</v>
      </c>
      <c r="G104" s="475">
        <f>G$145*625</f>
        <v>955.625</v>
      </c>
      <c r="H104" s="475" t="s">
        <v>127</v>
      </c>
      <c r="I104" s="475" t="s">
        <v>127</v>
      </c>
      <c r="J104" s="475" t="s">
        <v>127</v>
      </c>
      <c r="K104" s="475">
        <f>K$145*625</f>
        <v>1019.375</v>
      </c>
      <c r="L104" s="475" t="s">
        <v>127</v>
      </c>
      <c r="M104" s="475">
        <f>M$145*625</f>
        <v>1061.875</v>
      </c>
      <c r="N104" s="475">
        <f>N$145*625</f>
        <v>1019.375</v>
      </c>
      <c r="O104" s="475">
        <f>O$145*625</f>
        <v>891.875</v>
      </c>
      <c r="P104" s="472"/>
    </row>
    <row r="105" spans="1:20" ht="15" customHeight="1" x14ac:dyDescent="0.2">
      <c r="A105" s="564"/>
      <c r="B105" s="488" t="s">
        <v>328</v>
      </c>
      <c r="C105" s="489">
        <f>C$145*710</f>
        <v>1158.01</v>
      </c>
      <c r="D105" s="489">
        <f t="shared" ref="D105:G105" si="17">D$145*710</f>
        <v>1158.01</v>
      </c>
      <c r="E105" s="489">
        <f t="shared" si="17"/>
        <v>1206.29</v>
      </c>
      <c r="F105" s="489">
        <f t="shared" si="17"/>
        <v>1158.01</v>
      </c>
      <c r="G105" s="489">
        <f t="shared" si="17"/>
        <v>1085.5899999999999</v>
      </c>
      <c r="H105" s="489" t="s">
        <v>127</v>
      </c>
      <c r="I105" s="489" t="s">
        <v>127</v>
      </c>
      <c r="J105" s="489" t="s">
        <v>127</v>
      </c>
      <c r="K105" s="489">
        <f>K$145*710</f>
        <v>1158.01</v>
      </c>
      <c r="L105" s="489" t="s">
        <v>127</v>
      </c>
      <c r="M105" s="489">
        <f>M$145*710</f>
        <v>1206.29</v>
      </c>
      <c r="N105" s="489">
        <f>N$145*710</f>
        <v>1158.01</v>
      </c>
      <c r="O105" s="489">
        <f>O$145*710</f>
        <v>1013.1700000000001</v>
      </c>
      <c r="P105" s="472"/>
    </row>
    <row r="106" spans="1:20" ht="27.75" customHeight="1" x14ac:dyDescent="0.2">
      <c r="A106" s="596" t="s">
        <v>348</v>
      </c>
      <c r="B106" s="596"/>
      <c r="C106" s="596"/>
      <c r="D106" s="596"/>
      <c r="E106" s="596"/>
      <c r="F106" s="596"/>
      <c r="G106" s="596"/>
      <c r="H106" s="596"/>
      <c r="I106" s="596"/>
      <c r="J106" s="596"/>
      <c r="K106" s="596"/>
      <c r="L106" s="596"/>
      <c r="M106" s="596"/>
      <c r="N106" s="596"/>
      <c r="O106" s="596"/>
      <c r="P106" s="596"/>
      <c r="Q106" s="596"/>
      <c r="R106" s="596"/>
      <c r="S106" s="596"/>
      <c r="T106" s="596"/>
    </row>
    <row r="107" spans="1:20" ht="12.75" customHeight="1" x14ac:dyDescent="0.2">
      <c r="A107" s="577" t="s">
        <v>336</v>
      </c>
      <c r="B107" s="577"/>
      <c r="C107" s="501" t="s">
        <v>293</v>
      </c>
      <c r="D107" s="501" t="s">
        <v>279</v>
      </c>
      <c r="E107" s="501" t="s">
        <v>278</v>
      </c>
      <c r="F107" s="501" t="s">
        <v>192</v>
      </c>
      <c r="G107" s="594" t="s">
        <v>319</v>
      </c>
      <c r="H107" s="595"/>
      <c r="I107" s="594" t="s">
        <v>320</v>
      </c>
      <c r="J107" s="595"/>
      <c r="K107" s="594" t="s">
        <v>321</v>
      </c>
      <c r="L107" s="595"/>
      <c r="M107" s="501" t="s">
        <v>136</v>
      </c>
      <c r="N107" s="501" t="s">
        <v>177</v>
      </c>
      <c r="O107" s="501" t="s">
        <v>178</v>
      </c>
      <c r="P107" s="494"/>
    </row>
    <row r="108" spans="1:20" s="447" customFormat="1" x14ac:dyDescent="0.2">
      <c r="A108" s="564" t="s">
        <v>36</v>
      </c>
      <c r="B108" s="474" t="s">
        <v>337</v>
      </c>
      <c r="C108" s="475" t="s">
        <v>127</v>
      </c>
      <c r="D108" s="475" t="s">
        <v>127</v>
      </c>
      <c r="E108" s="475" t="s">
        <v>127</v>
      </c>
      <c r="F108" s="475">
        <f>ROUNDDOWN(24300/F86,0)</f>
        <v>21</v>
      </c>
      <c r="G108" s="475">
        <f>ROUNDDOWN(24300/G86,0)</f>
        <v>21</v>
      </c>
      <c r="H108" s="475" t="s">
        <v>127</v>
      </c>
      <c r="I108" s="475">
        <f>ROUNDDOWN(24300/I86,0)</f>
        <v>22</v>
      </c>
      <c r="J108" s="475" t="s">
        <v>127</v>
      </c>
      <c r="K108" s="475">
        <f>ROUNDDOWN(24300/K86,0)</f>
        <v>21</v>
      </c>
      <c r="L108" s="475" t="s">
        <v>127</v>
      </c>
      <c r="M108" s="475">
        <f t="shared" ref="M108:N108" si="18">ROUNDDOWN(24300/M86,0)</f>
        <v>20</v>
      </c>
      <c r="N108" s="475">
        <f t="shared" si="18"/>
        <v>21</v>
      </c>
      <c r="O108" s="475">
        <v>22</v>
      </c>
      <c r="P108" s="472"/>
    </row>
    <row r="109" spans="1:20" ht="12.75" customHeight="1" x14ac:dyDescent="0.2">
      <c r="A109" s="564"/>
      <c r="B109" s="488" t="s">
        <v>328</v>
      </c>
      <c r="C109" s="489">
        <f>ROUNDDOWN(24300/C87,0)</f>
        <v>18</v>
      </c>
      <c r="D109" s="489">
        <f t="shared" ref="D109:G109" si="19">ROUNDDOWN(24300/D87,0)</f>
        <v>18</v>
      </c>
      <c r="E109" s="489">
        <f t="shared" si="19"/>
        <v>17</v>
      </c>
      <c r="F109" s="489">
        <f t="shared" si="19"/>
        <v>18</v>
      </c>
      <c r="G109" s="489">
        <f t="shared" si="19"/>
        <v>18</v>
      </c>
      <c r="H109" s="489" t="s">
        <v>127</v>
      </c>
      <c r="I109" s="489">
        <f>ROUNDDOWN(24300/I87,0)</f>
        <v>18</v>
      </c>
      <c r="J109" s="489" t="s">
        <v>127</v>
      </c>
      <c r="K109" s="489">
        <f>ROUNDDOWN(24300/K87,0)</f>
        <v>18</v>
      </c>
      <c r="L109" s="489">
        <f>ROUNDDOWN(24300/L87,0)</f>
        <v>28</v>
      </c>
      <c r="M109" s="489">
        <f>ROUNDDOWN(24300/M87,0)</f>
        <v>17</v>
      </c>
      <c r="N109" s="489">
        <f>ROUNDDOWN(24300/N87,0)</f>
        <v>18</v>
      </c>
      <c r="O109" s="489">
        <f>ROUNDDOWN(24300/O87,0)</f>
        <v>20</v>
      </c>
      <c r="P109" s="472"/>
    </row>
    <row r="110" spans="1:20" ht="12.75" customHeight="1" x14ac:dyDescent="0.2">
      <c r="A110" s="564"/>
      <c r="B110" s="496" t="s">
        <v>338</v>
      </c>
      <c r="C110" s="497" t="s">
        <v>127</v>
      </c>
      <c r="D110" s="497">
        <f>ROUNDDOWN(24300/D88,0)</f>
        <v>16</v>
      </c>
      <c r="E110" s="497" t="s">
        <v>127</v>
      </c>
      <c r="F110" s="497">
        <f>ROUNDDOWN(24300/F88,0)</f>
        <v>16</v>
      </c>
      <c r="G110" s="497">
        <f>ROUNDDOWN(24300/G88,0)</f>
        <v>16</v>
      </c>
      <c r="H110" s="497" t="s">
        <v>127</v>
      </c>
      <c r="I110" s="497" t="s">
        <v>127</v>
      </c>
      <c r="J110" s="497" t="s">
        <v>127</v>
      </c>
      <c r="K110" s="497">
        <f>ROUNDDOWN(24300/K88,0)</f>
        <v>16</v>
      </c>
      <c r="L110" s="497">
        <f>ROUNDDOWN(24300/L88,0)</f>
        <v>25</v>
      </c>
      <c r="M110" s="497">
        <f>ROUNDDOWN(24300/M88,0)</f>
        <v>15</v>
      </c>
      <c r="N110" s="497" t="s">
        <v>127</v>
      </c>
      <c r="O110" s="497" t="s">
        <v>127</v>
      </c>
      <c r="P110" s="472"/>
    </row>
    <row r="111" spans="1:20" ht="12.75" customHeight="1" x14ac:dyDescent="0.2">
      <c r="A111" s="564"/>
      <c r="B111" s="502" t="s">
        <v>339</v>
      </c>
      <c r="C111" s="503" t="s">
        <v>127</v>
      </c>
      <c r="D111" s="503" t="s">
        <v>127</v>
      </c>
      <c r="E111" s="503" t="s">
        <v>127</v>
      </c>
      <c r="F111" s="503" t="s">
        <v>127</v>
      </c>
      <c r="G111" s="503" t="s">
        <v>127</v>
      </c>
      <c r="H111" s="503">
        <f>ROUNDDOWN(24300/H89,0)</f>
        <v>22</v>
      </c>
      <c r="I111" s="503" t="s">
        <v>127</v>
      </c>
      <c r="J111" s="503">
        <f>ROUNDDOWN(24300/J89,0)</f>
        <v>22</v>
      </c>
      <c r="K111" s="503" t="s">
        <v>127</v>
      </c>
      <c r="L111" s="503">
        <f>ROUNDDOWN(24300/L89,0)</f>
        <v>22</v>
      </c>
      <c r="M111" s="503" t="s">
        <v>127</v>
      </c>
      <c r="N111" s="503" t="s">
        <v>127</v>
      </c>
      <c r="O111" s="503" t="s">
        <v>127</v>
      </c>
      <c r="P111" s="472"/>
    </row>
    <row r="112" spans="1:20" ht="15" customHeight="1" x14ac:dyDescent="0.2">
      <c r="A112" s="564" t="s">
        <v>37</v>
      </c>
      <c r="B112" s="474" t="s">
        <v>337</v>
      </c>
      <c r="C112" s="475" t="s">
        <v>127</v>
      </c>
      <c r="D112" s="475" t="s">
        <v>127</v>
      </c>
      <c r="E112" s="475" t="s">
        <v>127</v>
      </c>
      <c r="F112" s="475">
        <f t="shared" ref="F112:G117" si="20">ROUNDDOWN(24300/F90,0)</f>
        <v>22</v>
      </c>
      <c r="G112" s="475">
        <f t="shared" si="20"/>
        <v>22</v>
      </c>
      <c r="H112" s="475" t="s">
        <v>127</v>
      </c>
      <c r="I112" s="475">
        <f>ROUNDDOWN(24300/I90,0)</f>
        <v>23</v>
      </c>
      <c r="J112" s="475" t="s">
        <v>127</v>
      </c>
      <c r="K112" s="475">
        <f t="shared" ref="K112:K117" si="21">ROUNDDOWN(24300/K90,0)</f>
        <v>22</v>
      </c>
      <c r="L112" s="475" t="s">
        <v>127</v>
      </c>
      <c r="M112" s="475">
        <f>ROUNDDOWN(24300/M90,0)</f>
        <v>21</v>
      </c>
      <c r="N112" s="475">
        <f>ROUNDDOWN(24300/N90,0)</f>
        <v>22</v>
      </c>
      <c r="O112" s="475">
        <v>22</v>
      </c>
      <c r="P112" s="472"/>
    </row>
    <row r="113" spans="1:16" ht="15" customHeight="1" x14ac:dyDescent="0.2">
      <c r="A113" s="564"/>
      <c r="B113" s="488" t="s">
        <v>328</v>
      </c>
      <c r="C113" s="489">
        <f>ROUNDDOWN(24300/C91,0)</f>
        <v>18</v>
      </c>
      <c r="D113" s="489">
        <f>ROUNDDOWN(24300/D91,0)</f>
        <v>18</v>
      </c>
      <c r="E113" s="489">
        <f>ROUNDDOWN(24300/E91,0)</f>
        <v>17</v>
      </c>
      <c r="F113" s="489">
        <f t="shared" si="20"/>
        <v>18</v>
      </c>
      <c r="G113" s="489">
        <f t="shared" si="20"/>
        <v>18</v>
      </c>
      <c r="H113" s="489" t="s">
        <v>127</v>
      </c>
      <c r="I113" s="489">
        <f>ROUNDDOWN(24300/I91,0)</f>
        <v>19</v>
      </c>
      <c r="J113" s="489" t="s">
        <v>127</v>
      </c>
      <c r="K113" s="489">
        <f t="shared" si="21"/>
        <v>18</v>
      </c>
      <c r="L113" s="489" t="s">
        <v>127</v>
      </c>
      <c r="M113" s="489">
        <f>ROUNDDOWN(24300/M91,0)</f>
        <v>17</v>
      </c>
      <c r="N113" s="489">
        <f>ROUNDDOWN(24300/N91,0)</f>
        <v>18</v>
      </c>
      <c r="O113" s="489">
        <f>ROUNDDOWN(24300/O91,0)</f>
        <v>21</v>
      </c>
      <c r="P113" s="472"/>
    </row>
    <row r="114" spans="1:16" ht="15" customHeight="1" x14ac:dyDescent="0.2">
      <c r="A114" s="564"/>
      <c r="B114" s="496" t="s">
        <v>338</v>
      </c>
      <c r="C114" s="497" t="s">
        <v>127</v>
      </c>
      <c r="D114" s="497">
        <f>ROUNDDOWN(24300/D92,0)</f>
        <v>16</v>
      </c>
      <c r="E114" s="497">
        <f>ROUNDDOWN(24300/E92,0)</f>
        <v>15</v>
      </c>
      <c r="F114" s="497">
        <f t="shared" si="20"/>
        <v>16</v>
      </c>
      <c r="G114" s="497">
        <f t="shared" si="20"/>
        <v>16</v>
      </c>
      <c r="H114" s="497" t="s">
        <v>127</v>
      </c>
      <c r="I114" s="497" t="s">
        <v>127</v>
      </c>
      <c r="J114" s="497" t="s">
        <v>127</v>
      </c>
      <c r="K114" s="497">
        <f t="shared" si="21"/>
        <v>16</v>
      </c>
      <c r="L114" s="497" t="s">
        <v>127</v>
      </c>
      <c r="M114" s="497">
        <f>ROUNDDOWN(24300/M92,0)</f>
        <v>15</v>
      </c>
      <c r="N114" s="497" t="s">
        <v>127</v>
      </c>
      <c r="O114" s="497" t="s">
        <v>127</v>
      </c>
      <c r="P114" s="472"/>
    </row>
    <row r="115" spans="1:16" ht="12.75" customHeight="1" x14ac:dyDescent="0.2">
      <c r="A115" s="564" t="s">
        <v>39</v>
      </c>
      <c r="B115" s="474" t="s">
        <v>337</v>
      </c>
      <c r="C115" s="475" t="s">
        <v>127</v>
      </c>
      <c r="D115" s="475" t="s">
        <v>127</v>
      </c>
      <c r="E115" s="475" t="s">
        <v>127</v>
      </c>
      <c r="F115" s="475">
        <f t="shared" si="20"/>
        <v>21</v>
      </c>
      <c r="G115" s="475">
        <f t="shared" si="20"/>
        <v>21</v>
      </c>
      <c r="H115" s="475" t="s">
        <v>127</v>
      </c>
      <c r="I115" s="475">
        <f>ROUNDDOWN(24300/I93,0)</f>
        <v>22</v>
      </c>
      <c r="J115" s="475" t="s">
        <v>127</v>
      </c>
      <c r="K115" s="475">
        <f t="shared" si="21"/>
        <v>21</v>
      </c>
      <c r="L115" s="475" t="s">
        <v>127</v>
      </c>
      <c r="M115" s="475">
        <f>ROUNDDOWN(24300/M93,0)</f>
        <v>20</v>
      </c>
      <c r="N115" s="475">
        <f>ROUNDDOWN(24300/N93,0)</f>
        <v>21</v>
      </c>
      <c r="O115" s="475">
        <v>22</v>
      </c>
      <c r="P115" s="472"/>
    </row>
    <row r="116" spans="1:16" ht="15" customHeight="1" x14ac:dyDescent="0.2">
      <c r="A116" s="564"/>
      <c r="B116" s="488" t="s">
        <v>328</v>
      </c>
      <c r="C116" s="489">
        <f>ROUNDDOWN(24300/C94,0)</f>
        <v>18</v>
      </c>
      <c r="D116" s="489">
        <f>ROUNDDOWN(24300/D94,0)</f>
        <v>18</v>
      </c>
      <c r="E116" s="489">
        <f>ROUNDDOWN(24300/E94,0)</f>
        <v>17</v>
      </c>
      <c r="F116" s="489">
        <f t="shared" si="20"/>
        <v>18</v>
      </c>
      <c r="G116" s="489">
        <f t="shared" si="20"/>
        <v>18</v>
      </c>
      <c r="H116" s="489" t="s">
        <v>127</v>
      </c>
      <c r="I116" s="489">
        <f>ROUNDDOWN(24300/I94,0)</f>
        <v>19</v>
      </c>
      <c r="J116" s="489" t="s">
        <v>127</v>
      </c>
      <c r="K116" s="489">
        <f t="shared" si="21"/>
        <v>18</v>
      </c>
      <c r="L116" s="489" t="s">
        <v>127</v>
      </c>
      <c r="M116" s="489">
        <f>ROUNDDOWN(24300/M94,0)</f>
        <v>17</v>
      </c>
      <c r="N116" s="489">
        <f>ROUNDDOWN(24300/N94,0)</f>
        <v>18</v>
      </c>
      <c r="O116" s="489">
        <f>ROUNDDOWN(24300/O94,0)</f>
        <v>21</v>
      </c>
      <c r="P116" s="472"/>
    </row>
    <row r="117" spans="1:16" ht="15" customHeight="1" x14ac:dyDescent="0.2">
      <c r="A117" s="564"/>
      <c r="B117" s="496" t="s">
        <v>338</v>
      </c>
      <c r="C117" s="497" t="s">
        <v>127</v>
      </c>
      <c r="D117" s="497">
        <f>ROUNDDOWN(24300/D95,0)</f>
        <v>16</v>
      </c>
      <c r="E117" s="497" t="s">
        <v>127</v>
      </c>
      <c r="F117" s="497">
        <f t="shared" si="20"/>
        <v>16</v>
      </c>
      <c r="G117" s="497">
        <f t="shared" si="20"/>
        <v>16</v>
      </c>
      <c r="H117" s="497" t="s">
        <v>127</v>
      </c>
      <c r="I117" s="497" t="s">
        <v>127</v>
      </c>
      <c r="J117" s="497" t="s">
        <v>127</v>
      </c>
      <c r="K117" s="497">
        <f t="shared" si="21"/>
        <v>16</v>
      </c>
      <c r="L117" s="497" t="s">
        <v>127</v>
      </c>
      <c r="M117" s="497">
        <f>ROUNDDOWN(24300/M95,0)</f>
        <v>15</v>
      </c>
      <c r="N117" s="497" t="s">
        <v>127</v>
      </c>
      <c r="O117" s="497" t="s">
        <v>127</v>
      </c>
      <c r="P117" s="472"/>
    </row>
    <row r="118" spans="1:16" ht="15" customHeight="1" x14ac:dyDescent="0.2">
      <c r="A118" s="564"/>
      <c r="B118" s="502" t="s">
        <v>339</v>
      </c>
      <c r="C118" s="503" t="s">
        <v>127</v>
      </c>
      <c r="D118" s="503" t="s">
        <v>127</v>
      </c>
      <c r="E118" s="503" t="s">
        <v>127</v>
      </c>
      <c r="F118" s="503" t="s">
        <v>127</v>
      </c>
      <c r="G118" s="503" t="s">
        <v>127</v>
      </c>
      <c r="H118" s="503">
        <f>ROUNDDOWN(24300/H96,0)</f>
        <v>22</v>
      </c>
      <c r="I118" s="503" t="s">
        <v>127</v>
      </c>
      <c r="J118" s="503">
        <f>ROUNDDOWN(24300/J96,0)</f>
        <v>22</v>
      </c>
      <c r="K118" s="503" t="s">
        <v>127</v>
      </c>
      <c r="L118" s="503">
        <f>ROUNDDOWN(24300/L96,0)</f>
        <v>22</v>
      </c>
      <c r="M118" s="503" t="s">
        <v>127</v>
      </c>
      <c r="N118" s="503" t="s">
        <v>127</v>
      </c>
      <c r="O118" s="503" t="s">
        <v>127</v>
      </c>
      <c r="P118" s="472"/>
    </row>
    <row r="119" spans="1:16" ht="15" hidden="1" customHeight="1" x14ac:dyDescent="0.2">
      <c r="A119" s="564" t="s">
        <v>38</v>
      </c>
      <c r="B119" s="474">
        <v>500</v>
      </c>
      <c r="C119" s="475" t="s">
        <v>127</v>
      </c>
      <c r="D119" s="475" t="s">
        <v>127</v>
      </c>
      <c r="E119" s="475" t="s">
        <v>127</v>
      </c>
      <c r="F119" s="475">
        <f>F154*618+20</f>
        <v>20</v>
      </c>
      <c r="G119" s="475" t="s">
        <v>127</v>
      </c>
      <c r="H119" s="475"/>
      <c r="I119" s="475" t="s">
        <v>127</v>
      </c>
      <c r="J119" s="475"/>
      <c r="K119" s="475">
        <f>K154*618+20</f>
        <v>20</v>
      </c>
      <c r="L119" s="475"/>
      <c r="M119" s="475" t="s">
        <v>127</v>
      </c>
      <c r="N119" s="475" t="s">
        <v>127</v>
      </c>
      <c r="O119" s="475" t="s">
        <v>127</v>
      </c>
      <c r="P119" s="472"/>
    </row>
    <row r="120" spans="1:16" ht="15" hidden="1" customHeight="1" x14ac:dyDescent="0.2">
      <c r="A120" s="564"/>
      <c r="B120" s="488">
        <v>600</v>
      </c>
      <c r="C120" s="489">
        <f>1.6086*807+20</f>
        <v>1318.1402</v>
      </c>
      <c r="D120" s="489">
        <f>D154*807+20</f>
        <v>1056098.936</v>
      </c>
      <c r="E120" s="489" t="s">
        <v>127</v>
      </c>
      <c r="F120" s="489">
        <f t="shared" ref="F120" si="22">F154*807+20</f>
        <v>20</v>
      </c>
      <c r="G120" s="489" t="s">
        <v>127</v>
      </c>
      <c r="H120" s="489"/>
      <c r="I120" s="489" t="s">
        <v>127</v>
      </c>
      <c r="J120" s="489"/>
      <c r="K120" s="489">
        <f>K154*807+20</f>
        <v>20</v>
      </c>
      <c r="L120" s="489" t="s">
        <v>127</v>
      </c>
      <c r="M120" s="489" t="s">
        <v>127</v>
      </c>
      <c r="N120" s="489" t="s">
        <v>127</v>
      </c>
      <c r="O120" s="489" t="s">
        <v>127</v>
      </c>
      <c r="P120" s="472"/>
    </row>
    <row r="121" spans="1:16" ht="15" customHeight="1" x14ac:dyDescent="0.2">
      <c r="A121" s="564" t="s">
        <v>308</v>
      </c>
      <c r="B121" s="490" t="s">
        <v>340</v>
      </c>
      <c r="C121" s="491" t="s">
        <v>127</v>
      </c>
      <c r="D121" s="491" t="s">
        <v>127</v>
      </c>
      <c r="E121" s="491" t="s">
        <v>127</v>
      </c>
      <c r="F121" s="491" t="s">
        <v>127</v>
      </c>
      <c r="G121" s="491" t="s">
        <v>127</v>
      </c>
      <c r="H121" s="491" t="s">
        <v>127</v>
      </c>
      <c r="I121" s="491" t="s">
        <v>127</v>
      </c>
      <c r="J121" s="491" t="s">
        <v>127</v>
      </c>
      <c r="K121" s="491">
        <v>30</v>
      </c>
      <c r="L121" s="491" t="s">
        <v>127</v>
      </c>
      <c r="M121" s="491">
        <v>30</v>
      </c>
      <c r="N121" s="491">
        <v>30</v>
      </c>
      <c r="O121" s="491">
        <v>30</v>
      </c>
      <c r="P121" s="472"/>
    </row>
    <row r="122" spans="1:16" ht="15" customHeight="1" x14ac:dyDescent="0.2">
      <c r="A122" s="564"/>
      <c r="B122" s="474" t="s">
        <v>341</v>
      </c>
      <c r="C122" s="475" t="s">
        <v>127</v>
      </c>
      <c r="D122" s="475" t="s">
        <v>127</v>
      </c>
      <c r="E122" s="475" t="s">
        <v>127</v>
      </c>
      <c r="F122" s="475">
        <f t="shared" ref="F122:G122" si="23">ROUNDDOWN(24300/F100,0)</f>
        <v>29</v>
      </c>
      <c r="G122" s="475">
        <f t="shared" si="23"/>
        <v>29</v>
      </c>
      <c r="H122" s="475" t="s">
        <v>127</v>
      </c>
      <c r="I122" s="475">
        <f t="shared" ref="I122:I123" si="24">ROUNDDOWN(24300/I100,0)</f>
        <v>30</v>
      </c>
      <c r="J122" s="475" t="s">
        <v>127</v>
      </c>
      <c r="K122" s="475">
        <f t="shared" ref="K122:K123" si="25">ROUNDDOWN(24300/K100,0)</f>
        <v>29</v>
      </c>
      <c r="L122" s="475" t="s">
        <v>127</v>
      </c>
      <c r="M122" s="475">
        <f t="shared" ref="M122:N122" si="26">ROUNDDOWN(24300/M100,0)</f>
        <v>28</v>
      </c>
      <c r="N122" s="475">
        <f t="shared" si="26"/>
        <v>29</v>
      </c>
      <c r="O122" s="475">
        <v>30</v>
      </c>
      <c r="P122" s="472"/>
    </row>
    <row r="123" spans="1:16" ht="15" customHeight="1" x14ac:dyDescent="0.2">
      <c r="A123" s="564"/>
      <c r="B123" s="488" t="s">
        <v>328</v>
      </c>
      <c r="C123" s="489">
        <f t="shared" ref="C123:E123" si="27">ROUNDDOWN(24300/C101,0)</f>
        <v>25</v>
      </c>
      <c r="D123" s="489">
        <f t="shared" si="27"/>
        <v>25</v>
      </c>
      <c r="E123" s="489">
        <f t="shared" si="27"/>
        <v>24</v>
      </c>
      <c r="F123" s="489">
        <f t="shared" ref="F123:G123" si="28">ROUNDDOWN(24300/F101,0)</f>
        <v>25</v>
      </c>
      <c r="G123" s="489">
        <f t="shared" si="28"/>
        <v>25</v>
      </c>
      <c r="H123" s="489" t="s">
        <v>127</v>
      </c>
      <c r="I123" s="489">
        <f t="shared" si="24"/>
        <v>26</v>
      </c>
      <c r="J123" s="489" t="s">
        <v>127</v>
      </c>
      <c r="K123" s="489">
        <f t="shared" si="25"/>
        <v>25</v>
      </c>
      <c r="L123" s="489" t="s">
        <v>127</v>
      </c>
      <c r="M123" s="489">
        <f t="shared" ref="M123:O123" si="29">ROUNDDOWN(24300/M101,0)</f>
        <v>24</v>
      </c>
      <c r="N123" s="489">
        <f t="shared" si="29"/>
        <v>25</v>
      </c>
      <c r="O123" s="489">
        <f t="shared" si="29"/>
        <v>29</v>
      </c>
      <c r="P123" s="472"/>
    </row>
    <row r="124" spans="1:16" ht="15" customHeight="1" x14ac:dyDescent="0.2">
      <c r="A124" s="564"/>
      <c r="B124" s="496" t="s">
        <v>338</v>
      </c>
      <c r="C124" s="497" t="s">
        <v>127</v>
      </c>
      <c r="D124" s="497">
        <f>ROUNDDOWN(24300/D102,0)</f>
        <v>21</v>
      </c>
      <c r="E124" s="497" t="s">
        <v>127</v>
      </c>
      <c r="F124" s="497">
        <f>ROUNDDOWN(24300/F102,0)</f>
        <v>21</v>
      </c>
      <c r="G124" s="497">
        <f>ROUNDDOWN(24300/G102,0)</f>
        <v>21</v>
      </c>
      <c r="H124" s="497" t="s">
        <v>127</v>
      </c>
      <c r="I124" s="497" t="s">
        <v>127</v>
      </c>
      <c r="J124" s="497" t="s">
        <v>127</v>
      </c>
      <c r="K124" s="497">
        <f>ROUNDDOWN(24300/K102,0)</f>
        <v>21</v>
      </c>
      <c r="L124" s="497" t="s">
        <v>127</v>
      </c>
      <c r="M124" s="497">
        <f>ROUNDDOWN(24300/M102,0)</f>
        <v>20</v>
      </c>
      <c r="N124" s="497" t="s">
        <v>127</v>
      </c>
      <c r="O124" s="497" t="s">
        <v>127</v>
      </c>
      <c r="P124" s="472"/>
    </row>
    <row r="125" spans="1:16" ht="15" customHeight="1" x14ac:dyDescent="0.2">
      <c r="A125" s="564" t="s">
        <v>311</v>
      </c>
      <c r="B125" s="490" t="s">
        <v>340</v>
      </c>
      <c r="C125" s="491" t="s">
        <v>127</v>
      </c>
      <c r="D125" s="491" t="s">
        <v>127</v>
      </c>
      <c r="E125" s="491" t="s">
        <v>127</v>
      </c>
      <c r="F125" s="491" t="s">
        <v>127</v>
      </c>
      <c r="G125" s="491" t="s">
        <v>127</v>
      </c>
      <c r="H125" s="491" t="s">
        <v>127</v>
      </c>
      <c r="I125" s="491" t="s">
        <v>127</v>
      </c>
      <c r="J125" s="491" t="s">
        <v>127</v>
      </c>
      <c r="K125" s="491">
        <v>26</v>
      </c>
      <c r="L125" s="491" t="s">
        <v>127</v>
      </c>
      <c r="M125" s="491">
        <f t="shared" ref="M125" si="30">ROUNDDOWN(24300/M103,0)</f>
        <v>26</v>
      </c>
      <c r="N125" s="491">
        <v>26</v>
      </c>
      <c r="O125" s="491">
        <v>26</v>
      </c>
      <c r="P125" s="472"/>
    </row>
    <row r="126" spans="1:16" ht="15" customHeight="1" x14ac:dyDescent="0.2">
      <c r="A126" s="564"/>
      <c r="B126" s="474" t="s">
        <v>337</v>
      </c>
      <c r="C126" s="475" t="s">
        <v>127</v>
      </c>
      <c r="D126" s="475" t="s">
        <v>127</v>
      </c>
      <c r="E126" s="475" t="s">
        <v>127</v>
      </c>
      <c r="F126" s="475">
        <f t="shared" ref="F126:G126" si="31">ROUNDDOWN(24300/F104,0)</f>
        <v>23</v>
      </c>
      <c r="G126" s="475">
        <f t="shared" si="31"/>
        <v>25</v>
      </c>
      <c r="H126" s="475" t="s">
        <v>127</v>
      </c>
      <c r="I126" s="475" t="s">
        <v>127</v>
      </c>
      <c r="J126" s="475" t="s">
        <v>127</v>
      </c>
      <c r="K126" s="475">
        <f t="shared" ref="K126:K127" si="32">ROUNDDOWN(24300/K104,0)</f>
        <v>23</v>
      </c>
      <c r="L126" s="475" t="s">
        <v>127</v>
      </c>
      <c r="M126" s="475">
        <f t="shared" ref="M126:N126" si="33">ROUNDDOWN(24300/M104,0)</f>
        <v>22</v>
      </c>
      <c r="N126" s="475">
        <f t="shared" si="33"/>
        <v>23</v>
      </c>
      <c r="O126" s="475">
        <v>26</v>
      </c>
      <c r="P126" s="472"/>
    </row>
    <row r="127" spans="1:16" ht="15" customHeight="1" x14ac:dyDescent="0.2">
      <c r="A127" s="564"/>
      <c r="B127" s="488" t="s">
        <v>328</v>
      </c>
      <c r="C127" s="489">
        <f t="shared" ref="C127:E127" si="34">ROUNDDOWN(24300/C105,0)</f>
        <v>20</v>
      </c>
      <c r="D127" s="489">
        <f t="shared" si="34"/>
        <v>20</v>
      </c>
      <c r="E127" s="489">
        <f t="shared" si="34"/>
        <v>20</v>
      </c>
      <c r="F127" s="489">
        <f t="shared" ref="F127:G127" si="35">ROUNDDOWN(24300/F105,0)</f>
        <v>20</v>
      </c>
      <c r="G127" s="489">
        <f t="shared" si="35"/>
        <v>22</v>
      </c>
      <c r="H127" s="489" t="s">
        <v>127</v>
      </c>
      <c r="I127" s="489" t="s">
        <v>127</v>
      </c>
      <c r="J127" s="489" t="s">
        <v>127</v>
      </c>
      <c r="K127" s="489">
        <f t="shared" si="32"/>
        <v>20</v>
      </c>
      <c r="L127" s="489" t="s">
        <v>127</v>
      </c>
      <c r="M127" s="489">
        <f t="shared" ref="M127:O127" si="36">ROUNDDOWN(24300/M105,0)</f>
        <v>20</v>
      </c>
      <c r="N127" s="489">
        <f t="shared" si="36"/>
        <v>20</v>
      </c>
      <c r="O127" s="489">
        <f t="shared" si="36"/>
        <v>23</v>
      </c>
      <c r="P127" s="472"/>
    </row>
    <row r="128" spans="1:16" ht="10.5" customHeight="1" x14ac:dyDescent="0.2">
      <c r="A128" s="597"/>
      <c r="B128" s="597"/>
      <c r="C128" s="597"/>
      <c r="D128" s="597"/>
      <c r="E128" s="597"/>
      <c r="F128" s="597"/>
      <c r="G128" s="597"/>
      <c r="H128" s="597"/>
      <c r="I128" s="597"/>
      <c r="J128" s="597"/>
      <c r="K128" s="597"/>
      <c r="L128" s="597"/>
      <c r="M128" s="458"/>
      <c r="N128" s="462"/>
      <c r="O128" s="462"/>
      <c r="P128" s="462"/>
    </row>
    <row r="129" spans="1:16" ht="15" customHeight="1" x14ac:dyDescent="0.2">
      <c r="A129" s="583" t="s">
        <v>322</v>
      </c>
      <c r="B129" s="478" t="s">
        <v>303</v>
      </c>
      <c r="C129" s="477" t="s">
        <v>317</v>
      </c>
      <c r="D129" s="478">
        <v>144</v>
      </c>
      <c r="E129" s="478">
        <v>120</v>
      </c>
      <c r="F129" s="478">
        <v>96</v>
      </c>
      <c r="G129" s="478">
        <v>64</v>
      </c>
      <c r="H129" s="478">
        <v>48</v>
      </c>
      <c r="I129" s="478">
        <v>56</v>
      </c>
      <c r="J129" s="478">
        <v>42</v>
      </c>
      <c r="K129" s="478">
        <v>48</v>
      </c>
      <c r="L129" s="478">
        <v>36</v>
      </c>
      <c r="M129" s="478">
        <v>40</v>
      </c>
      <c r="N129" s="478">
        <v>32</v>
      </c>
      <c r="O129" s="478">
        <v>24</v>
      </c>
      <c r="P129" s="212"/>
    </row>
    <row r="130" spans="1:16" ht="15" customHeight="1" x14ac:dyDescent="0.2">
      <c r="A130" s="581"/>
      <c r="B130" s="443" t="s">
        <v>304</v>
      </c>
      <c r="C130" s="443">
        <v>7.06</v>
      </c>
      <c r="D130" s="443">
        <v>7.06</v>
      </c>
      <c r="E130" s="443">
        <v>7.06</v>
      </c>
      <c r="F130" s="443">
        <v>7.06</v>
      </c>
      <c r="G130" s="443">
        <v>7.06</v>
      </c>
      <c r="H130" s="444">
        <f>1/0.24/0.5</f>
        <v>8.3333333333333339</v>
      </c>
      <c r="I130" s="443">
        <v>7.06</v>
      </c>
      <c r="J130" s="444">
        <f>1/0.24/0.5</f>
        <v>8.3333333333333339</v>
      </c>
      <c r="K130" s="443">
        <v>7.06</v>
      </c>
      <c r="L130" s="444">
        <f>1/0.24/0.5</f>
        <v>8.3333333333333339</v>
      </c>
      <c r="M130" s="443">
        <v>7.06</v>
      </c>
      <c r="N130" s="443">
        <v>7.06</v>
      </c>
      <c r="O130" s="443">
        <v>7.06</v>
      </c>
      <c r="P130" s="212"/>
    </row>
    <row r="131" spans="1:16" ht="15" customHeight="1" x14ac:dyDescent="0.2">
      <c r="A131" s="581"/>
      <c r="B131" s="478" t="s">
        <v>305</v>
      </c>
      <c r="C131" s="480">
        <f>1/(0.06*0.24*0.59)</f>
        <v>117.70244821092278</v>
      </c>
      <c r="D131" s="480">
        <f>1/(0.08*0.24*0.59)</f>
        <v>88.276836158192111</v>
      </c>
      <c r="E131" s="480">
        <f>1/(0.1*0.24*0.59)</f>
        <v>70.621468926553675</v>
      </c>
      <c r="F131" s="480">
        <f>1/(0.12*0.59*0.24)</f>
        <v>58.851224105461405</v>
      </c>
      <c r="G131" s="480">
        <f>1/(0.18*0.24*0.59)</f>
        <v>39.234149403640934</v>
      </c>
      <c r="H131" s="480">
        <f>1/(0.18*0.24*0.5)</f>
        <v>46.296296296296305</v>
      </c>
      <c r="I131" s="480">
        <f>1/(0.2*0.24*0.59)</f>
        <v>35.310734463276837</v>
      </c>
      <c r="J131" s="480">
        <f>1/(0.2*0.24*0.5)</f>
        <v>41.666666666666664</v>
      </c>
      <c r="K131" s="480">
        <f>1/(0.24*0.24*0.59)</f>
        <v>29.425612052730695</v>
      </c>
      <c r="L131" s="480">
        <f>1/(0.24*0.24*0.5)</f>
        <v>34.722222222222221</v>
      </c>
      <c r="M131" s="480">
        <f>1/(0.3*0.24*0.59)</f>
        <v>23.540489642184561</v>
      </c>
      <c r="N131" s="480">
        <f>1/(0.36*0.24*0.59)</f>
        <v>19.617074701820467</v>
      </c>
      <c r="O131" s="480">
        <f>1/(0.42*0.24*0.59)</f>
        <v>16.814635458703258</v>
      </c>
      <c r="P131" s="451"/>
    </row>
    <row r="132" spans="1:16" ht="13.5" x14ac:dyDescent="0.2">
      <c r="A132" s="581"/>
      <c r="B132" s="443" t="s">
        <v>295</v>
      </c>
      <c r="C132" s="444">
        <f>C133/0.06</f>
        <v>24.92166666666667</v>
      </c>
      <c r="D132" s="444">
        <f>D133/0.08</f>
        <v>20.39</v>
      </c>
      <c r="E132" s="444">
        <f>E133/0.1</f>
        <v>16.992000000000001</v>
      </c>
      <c r="F132" s="444">
        <f>F133/0.12</f>
        <v>13.593333333333334</v>
      </c>
      <c r="G132" s="444">
        <f>G133/0.18</f>
        <v>9.0622222222222231</v>
      </c>
      <c r="H132" s="444">
        <f>H133/0.18</f>
        <v>5.7611111111111111</v>
      </c>
      <c r="I132" s="444">
        <f>I133/0.2</f>
        <v>7.9295</v>
      </c>
      <c r="J132" s="444">
        <f>J133/0.2</f>
        <v>5.04</v>
      </c>
      <c r="K132" s="444">
        <f>K133/0.24</f>
        <v>6.7966666666666669</v>
      </c>
      <c r="L132" s="444">
        <f>L133/0.24</f>
        <v>4.3208333333333329</v>
      </c>
      <c r="M132" s="444">
        <f>M133/0.3</f>
        <v>5.6640000000000006</v>
      </c>
      <c r="N132" s="444">
        <f>N133/0.36</f>
        <v>4.5311111111111115</v>
      </c>
      <c r="O132" s="444">
        <f>O133/0.42</f>
        <v>3.3983333333333334</v>
      </c>
      <c r="P132" s="451"/>
    </row>
    <row r="133" spans="1:16" ht="13.5" x14ac:dyDescent="0.2">
      <c r="A133" s="581"/>
      <c r="B133" s="478" t="s">
        <v>296</v>
      </c>
      <c r="C133" s="479">
        <v>1.4953000000000001</v>
      </c>
      <c r="D133" s="479">
        <v>1.6312</v>
      </c>
      <c r="E133" s="479">
        <v>1.6992</v>
      </c>
      <c r="F133" s="479">
        <v>1.6312</v>
      </c>
      <c r="G133" s="479">
        <v>1.6312</v>
      </c>
      <c r="H133" s="479">
        <v>1.0369999999999999</v>
      </c>
      <c r="I133" s="479">
        <v>1.5859000000000001</v>
      </c>
      <c r="J133" s="479">
        <v>1.008</v>
      </c>
      <c r="K133" s="479">
        <v>1.6312</v>
      </c>
      <c r="L133" s="479">
        <v>1.0369999999999999</v>
      </c>
      <c r="M133" s="479">
        <v>1.6992</v>
      </c>
      <c r="N133" s="479">
        <v>1.6312</v>
      </c>
      <c r="O133" s="479">
        <v>1.4273</v>
      </c>
      <c r="P133" s="458"/>
    </row>
    <row r="134" spans="1:16" ht="5.25" customHeight="1" x14ac:dyDescent="0.2">
      <c r="A134" s="483"/>
      <c r="B134" s="484"/>
      <c r="C134" s="485"/>
      <c r="D134" s="485"/>
      <c r="E134" s="485"/>
      <c r="F134" s="485"/>
      <c r="G134" s="485"/>
      <c r="H134" s="485"/>
      <c r="I134" s="485"/>
      <c r="J134" s="485"/>
      <c r="K134" s="485"/>
      <c r="L134" s="485"/>
      <c r="M134" s="485"/>
      <c r="N134" s="485"/>
      <c r="O134" s="485"/>
      <c r="P134" s="458"/>
    </row>
    <row r="135" spans="1:16" ht="15" customHeight="1" x14ac:dyDescent="0.2">
      <c r="A135" s="583" t="s">
        <v>310</v>
      </c>
      <c r="B135" s="478" t="s">
        <v>303</v>
      </c>
      <c r="C135" s="481">
        <v>144</v>
      </c>
      <c r="D135" s="478">
        <v>108</v>
      </c>
      <c r="E135" s="478">
        <v>90</v>
      </c>
      <c r="F135" s="478">
        <v>72</v>
      </c>
      <c r="G135" s="478">
        <v>48</v>
      </c>
      <c r="H135" s="478" t="s">
        <v>127</v>
      </c>
      <c r="I135" s="478">
        <v>42</v>
      </c>
      <c r="J135" s="478" t="s">
        <v>127</v>
      </c>
      <c r="K135" s="478">
        <v>36</v>
      </c>
      <c r="L135" s="478" t="s">
        <v>127</v>
      </c>
      <c r="M135" s="478">
        <v>30</v>
      </c>
      <c r="N135" s="478">
        <v>24</v>
      </c>
      <c r="O135" s="478">
        <v>18</v>
      </c>
      <c r="P135" s="212"/>
    </row>
    <row r="136" spans="1:16" ht="15" customHeight="1" x14ac:dyDescent="0.2">
      <c r="A136" s="581"/>
      <c r="B136" s="443" t="s">
        <v>304</v>
      </c>
      <c r="C136" s="443">
        <v>7.06</v>
      </c>
      <c r="D136" s="443">
        <v>7.06</v>
      </c>
      <c r="E136" s="443">
        <v>7.06</v>
      </c>
      <c r="F136" s="443">
        <v>7.06</v>
      </c>
      <c r="G136" s="443">
        <v>7.06</v>
      </c>
      <c r="H136" s="443" t="s">
        <v>127</v>
      </c>
      <c r="I136" s="443">
        <v>7.06</v>
      </c>
      <c r="J136" s="443" t="s">
        <v>127</v>
      </c>
      <c r="K136" s="443">
        <v>7.06</v>
      </c>
      <c r="L136" s="443" t="s">
        <v>127</v>
      </c>
      <c r="M136" s="443">
        <v>7.06</v>
      </c>
      <c r="N136" s="443">
        <v>7.06</v>
      </c>
      <c r="O136" s="443">
        <v>7.06</v>
      </c>
      <c r="P136" s="212"/>
    </row>
    <row r="137" spans="1:16" ht="15" customHeight="1" x14ac:dyDescent="0.2">
      <c r="A137" s="581"/>
      <c r="B137" s="478" t="s">
        <v>305</v>
      </c>
      <c r="C137" s="480">
        <f>1/(0.06*0.24*0.59)</f>
        <v>117.70244821092278</v>
      </c>
      <c r="D137" s="480">
        <f>1/(0.08*0.24*0.59)</f>
        <v>88.276836158192111</v>
      </c>
      <c r="E137" s="480">
        <f>1/(0.1*0.24*0.59)</f>
        <v>70.621468926553675</v>
      </c>
      <c r="F137" s="480">
        <f>1/(0.12*0.59*0.24)</f>
        <v>58.851224105461405</v>
      </c>
      <c r="G137" s="480">
        <f>1/(0.18*0.24*0.59)</f>
        <v>39.234149403640934</v>
      </c>
      <c r="H137" s="480" t="s">
        <v>127</v>
      </c>
      <c r="I137" s="480">
        <f>1/(0.2*0.24*0.59)</f>
        <v>35.310734463276837</v>
      </c>
      <c r="J137" s="480" t="s">
        <v>127</v>
      </c>
      <c r="K137" s="480">
        <f>1/(0.24*0.24*0.59)</f>
        <v>29.425612052730695</v>
      </c>
      <c r="L137" s="480" t="s">
        <v>127</v>
      </c>
      <c r="M137" s="480">
        <f>1/(0.3*0.24*0.59)</f>
        <v>23.540489642184561</v>
      </c>
      <c r="N137" s="480">
        <f>1/(0.36*0.24*0.59)</f>
        <v>19.617074701820467</v>
      </c>
      <c r="O137" s="480">
        <f>1/(0.42*0.24*0.59)</f>
        <v>16.814635458703258</v>
      </c>
      <c r="P137" s="451"/>
    </row>
    <row r="138" spans="1:16" ht="13.5" x14ac:dyDescent="0.2">
      <c r="A138" s="581"/>
      <c r="B138" s="443" t="s">
        <v>295</v>
      </c>
      <c r="C138" s="444">
        <f>C139/0.06</f>
        <v>20.400000000000002</v>
      </c>
      <c r="D138" s="444">
        <f>D139/0.08</f>
        <v>15.299999999999999</v>
      </c>
      <c r="E138" s="444">
        <f>E139/0.1</f>
        <v>12.74</v>
      </c>
      <c r="F138" s="444">
        <f>F139/0.12</f>
        <v>10.200000000000001</v>
      </c>
      <c r="G138" s="444">
        <f>G139/0.18</f>
        <v>6.8</v>
      </c>
      <c r="H138" s="444" t="s">
        <v>127</v>
      </c>
      <c r="I138" s="444">
        <f>I139/0.2</f>
        <v>5.9450000000000003</v>
      </c>
      <c r="J138" s="444" t="s">
        <v>127</v>
      </c>
      <c r="K138" s="444">
        <f>K139/0.24</f>
        <v>5.1000000000000005</v>
      </c>
      <c r="L138" s="444" t="s">
        <v>127</v>
      </c>
      <c r="M138" s="444">
        <f>M139/0.3</f>
        <v>4.246666666666667</v>
      </c>
      <c r="N138" s="444">
        <f>N139/0.36</f>
        <v>3.4</v>
      </c>
      <c r="O138" s="444">
        <f>O139/0.42</f>
        <v>2.5476190476190479</v>
      </c>
      <c r="P138" s="451"/>
    </row>
    <row r="139" spans="1:16" ht="13.5" x14ac:dyDescent="0.2">
      <c r="A139" s="581"/>
      <c r="B139" s="478" t="s">
        <v>296</v>
      </c>
      <c r="C139" s="479">
        <v>1.224</v>
      </c>
      <c r="D139" s="479">
        <v>1.224</v>
      </c>
      <c r="E139" s="479">
        <v>1.274</v>
      </c>
      <c r="F139" s="479">
        <v>1.224</v>
      </c>
      <c r="G139" s="479">
        <v>1.224</v>
      </c>
      <c r="H139" s="479" t="s">
        <v>127</v>
      </c>
      <c r="I139" s="479">
        <v>1.1890000000000001</v>
      </c>
      <c r="J139" s="479" t="s">
        <v>127</v>
      </c>
      <c r="K139" s="479">
        <v>1.224</v>
      </c>
      <c r="L139" s="479" t="s">
        <v>127</v>
      </c>
      <c r="M139" s="479">
        <v>1.274</v>
      </c>
      <c r="N139" s="479">
        <v>1.224</v>
      </c>
      <c r="O139" s="482">
        <v>1.07</v>
      </c>
      <c r="P139" s="458"/>
    </row>
    <row r="140" spans="1:16" ht="5.25" customHeight="1" x14ac:dyDescent="0.2">
      <c r="A140" s="483"/>
      <c r="B140" s="484"/>
      <c r="C140" s="485"/>
      <c r="D140" s="485"/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486"/>
      <c r="P140" s="458"/>
    </row>
    <row r="141" spans="1:16" ht="15" customHeight="1" x14ac:dyDescent="0.2">
      <c r="A141" s="583" t="s">
        <v>309</v>
      </c>
      <c r="B141" s="478" t="s">
        <v>303</v>
      </c>
      <c r="C141" s="481">
        <v>192</v>
      </c>
      <c r="D141" s="481">
        <v>144</v>
      </c>
      <c r="E141" s="481">
        <v>120</v>
      </c>
      <c r="F141" s="478">
        <v>96</v>
      </c>
      <c r="G141" s="478">
        <v>60</v>
      </c>
      <c r="H141" s="478" t="s">
        <v>127</v>
      </c>
      <c r="I141" s="478" t="s">
        <v>127</v>
      </c>
      <c r="J141" s="478" t="s">
        <v>127</v>
      </c>
      <c r="K141" s="478">
        <v>48</v>
      </c>
      <c r="L141" s="478" t="s">
        <v>127</v>
      </c>
      <c r="M141" s="478">
        <v>40</v>
      </c>
      <c r="N141" s="478">
        <v>32</v>
      </c>
      <c r="O141" s="478">
        <v>24</v>
      </c>
      <c r="P141" s="212"/>
    </row>
    <row r="142" spans="1:16" ht="15" customHeight="1" x14ac:dyDescent="0.2">
      <c r="A142" s="581"/>
      <c r="B142" s="443" t="s">
        <v>304</v>
      </c>
      <c r="C142" s="443">
        <v>7.06</v>
      </c>
      <c r="D142" s="443">
        <v>7.06</v>
      </c>
      <c r="E142" s="443">
        <v>7.06</v>
      </c>
      <c r="F142" s="443">
        <v>7.06</v>
      </c>
      <c r="G142" s="443">
        <v>7.06</v>
      </c>
      <c r="H142" s="443" t="s">
        <v>127</v>
      </c>
      <c r="I142" s="443" t="s">
        <v>127</v>
      </c>
      <c r="J142" s="443" t="s">
        <v>127</v>
      </c>
      <c r="K142" s="443">
        <v>7.06</v>
      </c>
      <c r="L142" s="443" t="s">
        <v>127</v>
      </c>
      <c r="M142" s="443">
        <v>7.06</v>
      </c>
      <c r="N142" s="443">
        <v>7.06</v>
      </c>
      <c r="O142" s="443">
        <v>7.06</v>
      </c>
      <c r="P142" s="212"/>
    </row>
    <row r="143" spans="1:16" ht="15" customHeight="1" x14ac:dyDescent="0.2">
      <c r="A143" s="581"/>
      <c r="B143" s="478" t="s">
        <v>305</v>
      </c>
      <c r="C143" s="480">
        <f>1/(0.06*0.24*0.59)</f>
        <v>117.70244821092278</v>
      </c>
      <c r="D143" s="480">
        <f>1/(0.08*0.24*0.59)</f>
        <v>88.276836158192111</v>
      </c>
      <c r="E143" s="480">
        <f>1/(0.1*0.24*0.59)</f>
        <v>70.621468926553675</v>
      </c>
      <c r="F143" s="480">
        <f>1/(0.12*0.59*0.24)</f>
        <v>58.851224105461405</v>
      </c>
      <c r="G143" s="480">
        <f>1/(0.18*0.24*0.59)</f>
        <v>39.234149403640934</v>
      </c>
      <c r="H143" s="480" t="s">
        <v>127</v>
      </c>
      <c r="I143" s="480" t="s">
        <v>127</v>
      </c>
      <c r="J143" s="480" t="s">
        <v>127</v>
      </c>
      <c r="K143" s="480">
        <f>1/(0.24*0.24*0.59)</f>
        <v>29.425612052730695</v>
      </c>
      <c r="L143" s="480" t="s">
        <v>127</v>
      </c>
      <c r="M143" s="480">
        <f>1/(0.3*0.24*0.59)</f>
        <v>23.540489642184561</v>
      </c>
      <c r="N143" s="480">
        <f>1/(0.36*0.24*0.59)</f>
        <v>19.617074701820467</v>
      </c>
      <c r="O143" s="480">
        <f>1/(0.42*0.24*0.59)</f>
        <v>16.814635458703258</v>
      </c>
      <c r="P143" s="451"/>
    </row>
    <row r="144" spans="1:16" ht="13.5" x14ac:dyDescent="0.2">
      <c r="A144" s="581"/>
      <c r="B144" s="443" t="s">
        <v>295</v>
      </c>
      <c r="C144" s="444">
        <f>C145/0.06</f>
        <v>27.183333333333334</v>
      </c>
      <c r="D144" s="444">
        <f>D145/0.08</f>
        <v>20.387499999999999</v>
      </c>
      <c r="E144" s="444">
        <f>E145/0.1</f>
        <v>16.989999999999998</v>
      </c>
      <c r="F144" s="444">
        <f>F145/0.12</f>
        <v>13.591666666666667</v>
      </c>
      <c r="G144" s="444">
        <f>G145/0.18</f>
        <v>8.4944444444444436</v>
      </c>
      <c r="H144" s="444" t="s">
        <v>127</v>
      </c>
      <c r="I144" s="444" t="s">
        <v>127</v>
      </c>
      <c r="J144" s="444" t="s">
        <v>127</v>
      </c>
      <c r="K144" s="444">
        <f>K145/0.24</f>
        <v>6.7958333333333334</v>
      </c>
      <c r="L144" s="444" t="s">
        <v>127</v>
      </c>
      <c r="M144" s="444">
        <f>M145/0.3</f>
        <v>5.663333333333334</v>
      </c>
      <c r="N144" s="444">
        <f>N145/0.36</f>
        <v>4.5305555555555559</v>
      </c>
      <c r="O144" s="444">
        <f>O145/0.42</f>
        <v>3.397619047619048</v>
      </c>
      <c r="P144" s="451"/>
    </row>
    <row r="145" spans="1:20" ht="13.5" x14ac:dyDescent="0.2">
      <c r="A145" s="581"/>
      <c r="B145" s="478" t="s">
        <v>296</v>
      </c>
      <c r="C145" s="479">
        <v>1.631</v>
      </c>
      <c r="D145" s="479">
        <v>1.631</v>
      </c>
      <c r="E145" s="479">
        <v>1.6990000000000001</v>
      </c>
      <c r="F145" s="479">
        <v>1.631</v>
      </c>
      <c r="G145" s="479">
        <v>1.5289999999999999</v>
      </c>
      <c r="H145" s="479" t="s">
        <v>127</v>
      </c>
      <c r="I145" s="479" t="s">
        <v>127</v>
      </c>
      <c r="J145" s="479" t="s">
        <v>127</v>
      </c>
      <c r="K145" s="479">
        <v>1.631</v>
      </c>
      <c r="L145" s="500" t="s">
        <v>127</v>
      </c>
      <c r="M145" s="479">
        <v>1.6990000000000001</v>
      </c>
      <c r="N145" s="479">
        <v>1.631</v>
      </c>
      <c r="O145" s="479">
        <v>1.427</v>
      </c>
      <c r="P145" s="458"/>
    </row>
    <row r="146" spans="1:20" ht="11.25" customHeight="1" x14ac:dyDescent="0.2">
      <c r="A146" s="591" t="s">
        <v>347</v>
      </c>
      <c r="B146" s="591"/>
      <c r="C146" s="591"/>
      <c r="D146" s="591"/>
      <c r="E146" s="591"/>
      <c r="F146" s="591"/>
      <c r="G146" s="591"/>
      <c r="H146" s="591"/>
      <c r="I146" s="591"/>
      <c r="J146" s="591"/>
      <c r="K146" s="591"/>
      <c r="L146" s="591"/>
      <c r="M146" s="591"/>
      <c r="N146" s="591"/>
      <c r="O146" s="591"/>
      <c r="P146" s="591"/>
      <c r="Q146" s="591"/>
      <c r="R146" s="495"/>
      <c r="S146" s="495"/>
      <c r="T146" s="495"/>
    </row>
    <row r="147" spans="1:20" ht="1.5" customHeight="1" x14ac:dyDescent="0.2">
      <c r="A147" s="591"/>
      <c r="B147" s="591"/>
      <c r="C147" s="591"/>
      <c r="D147" s="591"/>
      <c r="E147" s="591"/>
      <c r="F147" s="591"/>
      <c r="G147" s="591"/>
      <c r="H147" s="591"/>
      <c r="I147" s="591"/>
      <c r="J147" s="591"/>
      <c r="K147" s="591"/>
      <c r="L147" s="591"/>
      <c r="M147" s="591"/>
      <c r="N147" s="591"/>
      <c r="O147" s="591"/>
      <c r="P147" s="591"/>
      <c r="Q147" s="591"/>
      <c r="R147" s="476"/>
      <c r="S147" s="476"/>
      <c r="T147" s="476"/>
    </row>
    <row r="148" spans="1:20" ht="12.75" hidden="1" customHeight="1" x14ac:dyDescent="0.2">
      <c r="A148" s="582" t="s">
        <v>318</v>
      </c>
      <c r="B148" s="582"/>
      <c r="C148" s="582"/>
      <c r="D148" s="582"/>
      <c r="E148" s="582"/>
      <c r="F148" s="582"/>
      <c r="G148" s="582"/>
      <c r="H148" s="582"/>
      <c r="I148" s="582"/>
      <c r="J148" s="582"/>
      <c r="K148" s="582"/>
      <c r="L148" s="582"/>
      <c r="M148" s="582"/>
      <c r="N148" s="582"/>
      <c r="O148" s="582"/>
      <c r="P148" s="582"/>
    </row>
    <row r="149" spans="1:20" ht="25.5" customHeight="1" x14ac:dyDescent="0.2">
      <c r="A149" s="582" t="s">
        <v>352</v>
      </c>
      <c r="B149" s="582"/>
      <c r="C149" s="582"/>
      <c r="D149" s="582"/>
      <c r="E149" s="582"/>
      <c r="F149" s="582"/>
      <c r="G149" s="582"/>
      <c r="H149" s="582"/>
      <c r="I149" s="582"/>
      <c r="J149" s="582"/>
      <c r="K149" s="582"/>
      <c r="L149" s="582"/>
      <c r="M149" s="582"/>
      <c r="N149" s="582"/>
      <c r="O149" s="582"/>
      <c r="P149" s="582"/>
    </row>
    <row r="150" spans="1:20" x14ac:dyDescent="0.2">
      <c r="A150" s="566" t="s">
        <v>313</v>
      </c>
      <c r="B150" s="566"/>
      <c r="C150" s="566"/>
      <c r="D150" s="566"/>
      <c r="E150" s="566"/>
      <c r="F150" s="566"/>
      <c r="G150" s="566"/>
      <c r="H150" s="566"/>
      <c r="I150" s="566"/>
      <c r="J150" s="566"/>
      <c r="K150" s="566"/>
      <c r="L150" s="566"/>
      <c r="M150" s="566"/>
      <c r="N150" s="566"/>
      <c r="O150" s="566"/>
      <c r="P150" s="566"/>
      <c r="Q150" s="566"/>
      <c r="R150" s="566"/>
      <c r="S150" s="566"/>
      <c r="T150" s="566"/>
    </row>
    <row r="151" spans="1:20" ht="10.5" customHeight="1" x14ac:dyDescent="0.2">
      <c r="A151" s="460"/>
      <c r="B151" s="460"/>
      <c r="C151" s="460"/>
      <c r="D151" s="460"/>
      <c r="E151" s="460"/>
      <c r="F151" s="460"/>
      <c r="G151" s="460"/>
      <c r="H151" s="460"/>
      <c r="I151" s="460"/>
      <c r="J151" s="460"/>
      <c r="K151" s="460"/>
      <c r="L151" s="460"/>
      <c r="M151" s="460"/>
      <c r="N151" s="460"/>
      <c r="O151" s="460"/>
      <c r="P151" s="460"/>
    </row>
    <row r="152" spans="1:20" x14ac:dyDescent="0.2">
      <c r="A152" s="578" t="s">
        <v>342</v>
      </c>
      <c r="B152" s="578"/>
      <c r="C152" s="446" t="s">
        <v>192</v>
      </c>
      <c r="D152" s="446" t="s">
        <v>194</v>
      </c>
      <c r="E152" s="446" t="s">
        <v>135</v>
      </c>
    </row>
    <row r="153" spans="1:20" x14ac:dyDescent="0.2">
      <c r="A153" s="593" t="s">
        <v>39</v>
      </c>
      <c r="B153" s="443" t="s">
        <v>337</v>
      </c>
      <c r="C153" s="442">
        <f>C160*674+20</f>
        <v>1119.4287999999999</v>
      </c>
      <c r="D153" s="442">
        <f t="shared" ref="D153:E153" si="37">D160*674+20</f>
        <v>1119.4287999999999</v>
      </c>
      <c r="E153" s="442">
        <f t="shared" si="37"/>
        <v>1119.4287999999999</v>
      </c>
    </row>
    <row r="154" spans="1:20" x14ac:dyDescent="0.2">
      <c r="A154" s="593"/>
      <c r="B154" s="478" t="s">
        <v>328</v>
      </c>
      <c r="C154" s="487">
        <f t="shared" ref="C154:D154" si="38">C160*790+20</f>
        <v>1308.6479999999999</v>
      </c>
      <c r="D154" s="487">
        <f t="shared" si="38"/>
        <v>1308.6479999999999</v>
      </c>
      <c r="E154" s="487">
        <f>E160*790+20</f>
        <v>1308.6479999999999</v>
      </c>
    </row>
    <row r="155" spans="1:20" ht="10.5" customHeight="1" x14ac:dyDescent="0.2">
      <c r="A155" s="493"/>
      <c r="B155" s="493"/>
      <c r="C155" s="493"/>
      <c r="D155" s="493"/>
      <c r="E155" s="493"/>
      <c r="F155" s="462"/>
      <c r="G155" s="462"/>
      <c r="H155" s="462"/>
      <c r="I155" s="462"/>
      <c r="J155" s="462"/>
      <c r="K155" s="462"/>
      <c r="L155" s="462"/>
      <c r="M155" s="462"/>
      <c r="N155" s="462"/>
      <c r="O155" s="462"/>
      <c r="P155" s="462"/>
    </row>
    <row r="156" spans="1:20" x14ac:dyDescent="0.2">
      <c r="A156" s="592" t="s">
        <v>191</v>
      </c>
      <c r="B156" s="464" t="s">
        <v>303</v>
      </c>
      <c r="C156" s="464">
        <v>96</v>
      </c>
      <c r="D156" s="464">
        <v>64</v>
      </c>
      <c r="E156" s="464">
        <v>48</v>
      </c>
    </row>
    <row r="157" spans="1:20" ht="13.5" x14ac:dyDescent="0.2">
      <c r="A157" s="581"/>
      <c r="B157" s="443" t="s">
        <v>304</v>
      </c>
      <c r="C157" s="443">
        <v>7.06</v>
      </c>
      <c r="D157" s="443">
        <v>7.06</v>
      </c>
      <c r="E157" s="443">
        <v>7.06</v>
      </c>
    </row>
    <row r="158" spans="1:20" ht="13.5" x14ac:dyDescent="0.2">
      <c r="A158" s="581"/>
      <c r="B158" s="443" t="s">
        <v>305</v>
      </c>
      <c r="C158" s="444">
        <f>1/(0.12*0.59*0.24)</f>
        <v>58.851224105461405</v>
      </c>
      <c r="D158" s="444">
        <f>1/(0.18*0.24*0.59)</f>
        <v>39.234149403640934</v>
      </c>
      <c r="E158" s="444">
        <f>1/(0.24*0.24*0.59)</f>
        <v>29.425612052730695</v>
      </c>
    </row>
    <row r="159" spans="1:20" ht="13.5" x14ac:dyDescent="0.2">
      <c r="A159" s="581"/>
      <c r="B159" s="443" t="s">
        <v>295</v>
      </c>
      <c r="C159" s="444">
        <f>C160/0.12</f>
        <v>13.593333333333334</v>
      </c>
      <c r="D159" s="444">
        <f>D160/0.18</f>
        <v>9.0622222222222231</v>
      </c>
      <c r="E159" s="444">
        <f>E160/0.24</f>
        <v>6.7966666666666669</v>
      </c>
    </row>
    <row r="160" spans="1:20" ht="13.5" x14ac:dyDescent="0.2">
      <c r="A160" s="581"/>
      <c r="B160" s="443" t="s">
        <v>296</v>
      </c>
      <c r="C160" s="457">
        <v>1.6312</v>
      </c>
      <c r="D160" s="457">
        <v>1.6312</v>
      </c>
      <c r="E160" s="457">
        <v>1.6312</v>
      </c>
    </row>
    <row r="161" spans="1:13" ht="10.5" customHeight="1" x14ac:dyDescent="0.2">
      <c r="A161" s="465"/>
      <c r="C161" s="458"/>
      <c r="D161" s="458"/>
      <c r="E161" s="458"/>
      <c r="F161" s="458"/>
    </row>
    <row r="162" spans="1:13" ht="12.75" customHeight="1" x14ac:dyDescent="0.2">
      <c r="A162" s="585" t="s">
        <v>290</v>
      </c>
      <c r="B162" s="586"/>
      <c r="C162" s="586"/>
      <c r="D162" s="586"/>
      <c r="E162" s="586"/>
      <c r="F162" s="586"/>
      <c r="G162" s="586"/>
      <c r="H162" s="586"/>
      <c r="I162" s="587"/>
    </row>
    <row r="163" spans="1:13" ht="24" x14ac:dyDescent="0.2">
      <c r="A163" s="466" t="s">
        <v>298</v>
      </c>
      <c r="B163" s="466" t="s">
        <v>299</v>
      </c>
      <c r="C163" s="466" t="s">
        <v>300</v>
      </c>
      <c r="D163" s="466" t="s">
        <v>301</v>
      </c>
      <c r="E163" s="466" t="s">
        <v>294</v>
      </c>
      <c r="F163" s="466" t="s">
        <v>180</v>
      </c>
      <c r="G163" s="466" t="s">
        <v>181</v>
      </c>
      <c r="H163" s="466" t="s">
        <v>182</v>
      </c>
      <c r="I163" s="466" t="s">
        <v>302</v>
      </c>
    </row>
    <row r="164" spans="1:13" ht="15" customHeight="1" x14ac:dyDescent="0.2">
      <c r="A164" s="467" t="s">
        <v>183</v>
      </c>
      <c r="B164" s="583" t="s">
        <v>131</v>
      </c>
      <c r="C164" s="583" t="s">
        <v>174</v>
      </c>
      <c r="D164" s="467">
        <v>40</v>
      </c>
      <c r="E164" s="468">
        <f>D164*1.25*0.115*0.125</f>
        <v>0.71875</v>
      </c>
      <c r="F164" s="469">
        <f>D164*1.25</f>
        <v>50</v>
      </c>
      <c r="G164" s="469">
        <v>12.58</v>
      </c>
      <c r="H164" s="469">
        <f t="shared" ref="H164:H173" si="39">D164*G164+20</f>
        <v>523.20000000000005</v>
      </c>
      <c r="I164" s="469">
        <v>55.65</v>
      </c>
    </row>
    <row r="165" spans="1:13" ht="15" customHeight="1" x14ac:dyDescent="0.2">
      <c r="A165" s="467" t="s">
        <v>184</v>
      </c>
      <c r="B165" s="583"/>
      <c r="C165" s="583"/>
      <c r="D165" s="467">
        <v>40</v>
      </c>
      <c r="E165" s="468">
        <f>D165*1.5*0.115*0.125</f>
        <v>0.86250000000000004</v>
      </c>
      <c r="F165" s="469">
        <f>D165*1.5</f>
        <v>60</v>
      </c>
      <c r="G165" s="469">
        <v>15.09</v>
      </c>
      <c r="H165" s="469">
        <f t="shared" si="39"/>
        <v>623.6</v>
      </c>
      <c r="I165" s="469">
        <v>46.38</v>
      </c>
      <c r="J165" s="470"/>
      <c r="K165" s="470"/>
      <c r="L165" s="470"/>
      <c r="M165" s="470"/>
    </row>
    <row r="166" spans="1:13" ht="15" customHeight="1" x14ac:dyDescent="0.2">
      <c r="A166" s="467" t="s">
        <v>185</v>
      </c>
      <c r="B166" s="583"/>
      <c r="C166" s="583"/>
      <c r="D166" s="467">
        <v>40</v>
      </c>
      <c r="E166" s="468">
        <f>D166*2*0.115*0.125</f>
        <v>1.1500000000000001</v>
      </c>
      <c r="F166" s="469">
        <f>D166*2</f>
        <v>80</v>
      </c>
      <c r="G166" s="469">
        <v>20.13</v>
      </c>
      <c r="H166" s="469">
        <f t="shared" si="39"/>
        <v>825.19999999999993</v>
      </c>
      <c r="I166" s="469">
        <v>34.78</v>
      </c>
      <c r="J166" s="470"/>
      <c r="K166" s="470"/>
      <c r="L166" s="470"/>
      <c r="M166" s="470"/>
    </row>
    <row r="167" spans="1:13" ht="15" customHeight="1" x14ac:dyDescent="0.2">
      <c r="A167" s="467" t="s">
        <v>186</v>
      </c>
      <c r="B167" s="583"/>
      <c r="C167" s="583"/>
      <c r="D167" s="467">
        <v>40</v>
      </c>
      <c r="E167" s="468">
        <f>D167*2.5*0.115*0.125</f>
        <v>1.4375</v>
      </c>
      <c r="F167" s="469">
        <f>D167*2.5</f>
        <v>100</v>
      </c>
      <c r="G167" s="469">
        <v>25.16</v>
      </c>
      <c r="H167" s="469">
        <f t="shared" si="39"/>
        <v>1026.4000000000001</v>
      </c>
      <c r="I167" s="469">
        <v>27.83</v>
      </c>
      <c r="J167" s="470"/>
      <c r="K167" s="470"/>
      <c r="L167" s="470"/>
      <c r="M167" s="470"/>
    </row>
    <row r="168" spans="1:13" ht="15" customHeight="1" x14ac:dyDescent="0.2">
      <c r="A168" s="443" t="s">
        <v>187</v>
      </c>
      <c r="B168" s="583"/>
      <c r="C168" s="583"/>
      <c r="D168" s="443">
        <v>40</v>
      </c>
      <c r="E168" s="445">
        <f>D168*3*0.115*0.125</f>
        <v>1.7250000000000001</v>
      </c>
      <c r="F168" s="444">
        <f>D168*3</f>
        <v>120</v>
      </c>
      <c r="G168" s="444">
        <v>30.19</v>
      </c>
      <c r="H168" s="469">
        <f t="shared" si="39"/>
        <v>1227.6000000000001</v>
      </c>
      <c r="I168" s="444">
        <v>23.18</v>
      </c>
      <c r="J168" s="471"/>
      <c r="K168" s="471"/>
      <c r="L168" s="471"/>
      <c r="M168" s="471"/>
    </row>
    <row r="169" spans="1:13" ht="15" customHeight="1" x14ac:dyDescent="0.2">
      <c r="A169" s="467" t="s">
        <v>183</v>
      </c>
      <c r="B169" s="583" t="s">
        <v>133</v>
      </c>
      <c r="C169" s="583"/>
      <c r="D169" s="467">
        <v>30</v>
      </c>
      <c r="E169" s="468">
        <f>D169*1.25*0.175*0.125</f>
        <v>0.8203125</v>
      </c>
      <c r="F169" s="469">
        <f>D169*1.25</f>
        <v>37.5</v>
      </c>
      <c r="G169" s="469">
        <v>19.14</v>
      </c>
      <c r="H169" s="469">
        <f t="shared" si="39"/>
        <v>594.20000000000005</v>
      </c>
      <c r="I169" s="469">
        <v>36.57</v>
      </c>
      <c r="J169" s="470"/>
      <c r="K169" s="470"/>
      <c r="L169" s="470"/>
      <c r="M169" s="470"/>
    </row>
    <row r="170" spans="1:13" ht="15" customHeight="1" x14ac:dyDescent="0.2">
      <c r="A170" s="467" t="s">
        <v>184</v>
      </c>
      <c r="B170" s="583"/>
      <c r="C170" s="583"/>
      <c r="D170" s="467">
        <v>30</v>
      </c>
      <c r="E170" s="468">
        <f>D170*1.5*0.175*0.125</f>
        <v>0.98437499999999989</v>
      </c>
      <c r="F170" s="469">
        <f>D170*1.5</f>
        <v>45</v>
      </c>
      <c r="G170" s="469">
        <v>22.97</v>
      </c>
      <c r="H170" s="469">
        <f t="shared" si="39"/>
        <v>709.09999999999991</v>
      </c>
      <c r="I170" s="469">
        <v>30.48</v>
      </c>
      <c r="J170" s="470"/>
      <c r="K170" s="470"/>
      <c r="L170" s="470"/>
      <c r="M170" s="470"/>
    </row>
    <row r="171" spans="1:13" ht="15" customHeight="1" x14ac:dyDescent="0.2">
      <c r="A171" s="467" t="s">
        <v>185</v>
      </c>
      <c r="B171" s="583"/>
      <c r="C171" s="583"/>
      <c r="D171" s="467">
        <v>30</v>
      </c>
      <c r="E171" s="468">
        <f>D171*2*0.175*0.125</f>
        <v>1.3125</v>
      </c>
      <c r="F171" s="469">
        <f>D171*2</f>
        <v>60</v>
      </c>
      <c r="G171" s="469">
        <v>30.63</v>
      </c>
      <c r="H171" s="469">
        <f t="shared" si="39"/>
        <v>938.9</v>
      </c>
      <c r="I171" s="469">
        <v>22.86</v>
      </c>
      <c r="J171" s="470"/>
      <c r="K171" s="470"/>
      <c r="L171" s="470"/>
      <c r="M171" s="470"/>
    </row>
    <row r="172" spans="1:13" ht="15" customHeight="1" x14ac:dyDescent="0.2">
      <c r="A172" s="467" t="s">
        <v>186</v>
      </c>
      <c r="B172" s="583"/>
      <c r="C172" s="583"/>
      <c r="D172" s="467">
        <v>30</v>
      </c>
      <c r="E172" s="468">
        <f>D172*2.5*0.175*0.125</f>
        <v>1.640625</v>
      </c>
      <c r="F172" s="469">
        <f>D172*2.5</f>
        <v>75</v>
      </c>
      <c r="G172" s="469">
        <v>38.28</v>
      </c>
      <c r="H172" s="469">
        <f t="shared" si="39"/>
        <v>1168.4000000000001</v>
      </c>
      <c r="I172" s="469">
        <v>18.29</v>
      </c>
      <c r="J172" s="470"/>
      <c r="K172" s="470"/>
      <c r="L172" s="470"/>
      <c r="M172" s="470"/>
    </row>
    <row r="173" spans="1:13" ht="15" customHeight="1" x14ac:dyDescent="0.2">
      <c r="A173" s="443" t="s">
        <v>187</v>
      </c>
      <c r="B173" s="583"/>
      <c r="C173" s="583"/>
      <c r="D173" s="443">
        <v>30</v>
      </c>
      <c r="E173" s="445">
        <f>D173*3*0.175*0.125</f>
        <v>1.9687499999999998</v>
      </c>
      <c r="F173" s="444">
        <f>D173*3</f>
        <v>90</v>
      </c>
      <c r="G173" s="444">
        <v>45.94</v>
      </c>
      <c r="H173" s="469">
        <f t="shared" si="39"/>
        <v>1398.1999999999998</v>
      </c>
      <c r="I173" s="444">
        <v>15.24</v>
      </c>
      <c r="J173" s="471"/>
      <c r="K173" s="471"/>
      <c r="L173" s="471"/>
      <c r="M173" s="471"/>
    </row>
    <row r="174" spans="1:13" ht="7.5" customHeight="1" x14ac:dyDescent="0.2">
      <c r="A174" s="465"/>
      <c r="C174" s="458"/>
      <c r="D174" s="458"/>
      <c r="E174" s="458"/>
      <c r="F174" s="458"/>
    </row>
    <row r="175" spans="1:13" x14ac:dyDescent="0.2">
      <c r="A175" s="585" t="s">
        <v>323</v>
      </c>
      <c r="B175" s="586"/>
      <c r="C175" s="586"/>
      <c r="D175" s="586"/>
      <c r="E175" s="586"/>
      <c r="F175" s="586"/>
      <c r="G175" s="586"/>
      <c r="H175" s="586"/>
      <c r="I175" s="587"/>
    </row>
    <row r="176" spans="1:13" ht="24" x14ac:dyDescent="0.2">
      <c r="A176" s="466" t="s">
        <v>298</v>
      </c>
      <c r="B176" s="466" t="s">
        <v>299</v>
      </c>
      <c r="C176" s="466" t="s">
        <v>300</v>
      </c>
      <c r="D176" s="466" t="s">
        <v>301</v>
      </c>
      <c r="E176" s="466" t="s">
        <v>294</v>
      </c>
      <c r="F176" s="466" t="s">
        <v>180</v>
      </c>
      <c r="G176" s="466" t="s">
        <v>181</v>
      </c>
      <c r="H176" s="466" t="s">
        <v>182</v>
      </c>
      <c r="I176" s="466" t="s">
        <v>302</v>
      </c>
    </row>
    <row r="177" spans="1:9" x14ac:dyDescent="0.2">
      <c r="A177" s="588" t="s">
        <v>280</v>
      </c>
      <c r="B177" s="498" t="s">
        <v>324</v>
      </c>
      <c r="C177" s="588" t="s">
        <v>135</v>
      </c>
      <c r="D177" s="467">
        <v>36</v>
      </c>
      <c r="E177" s="468">
        <f>D177*1.5*0.06*0.24</f>
        <v>0.77759999999999996</v>
      </c>
      <c r="F177" s="469">
        <f>D177*1.5</f>
        <v>54</v>
      </c>
      <c r="G177" s="469">
        <v>16.03</v>
      </c>
      <c r="H177" s="469">
        <f t="shared" ref="H177" si="40">D177*G177+20</f>
        <v>597.08000000000004</v>
      </c>
      <c r="I177" s="469">
        <f>1/1.5/0.06/0.24</f>
        <v>46.296296296296298</v>
      </c>
    </row>
    <row r="178" spans="1:9" ht="12.75" customHeight="1" x14ac:dyDescent="0.2">
      <c r="A178" s="589"/>
      <c r="B178" s="498" t="s">
        <v>279</v>
      </c>
      <c r="C178" s="589"/>
      <c r="D178" s="467">
        <v>27</v>
      </c>
      <c r="E178" s="468">
        <f>D178*1.5*0.08*0.24</f>
        <v>0.77760000000000007</v>
      </c>
      <c r="F178" s="469">
        <f>D178*1.5</f>
        <v>40.5</v>
      </c>
      <c r="G178" s="469">
        <v>22.75</v>
      </c>
      <c r="H178" s="469">
        <f t="shared" ref="H178:H183" si="41">D178*G178+20</f>
        <v>634.25</v>
      </c>
      <c r="I178" s="469">
        <f>1/1.5/0.08/0.24</f>
        <v>34.722222222222221</v>
      </c>
    </row>
    <row r="179" spans="1:9" ht="12.75" customHeight="1" x14ac:dyDescent="0.2">
      <c r="A179" s="589"/>
      <c r="B179" s="498" t="s">
        <v>192</v>
      </c>
      <c r="C179" s="590"/>
      <c r="D179" s="467">
        <v>18</v>
      </c>
      <c r="E179" s="468">
        <f>D179*1.5*0.12*0.24</f>
        <v>0.77759999999999996</v>
      </c>
      <c r="F179" s="469">
        <f t="shared" ref="F179:F183" si="42">D179*1.5</f>
        <v>27</v>
      </c>
      <c r="G179" s="469">
        <v>34.130000000000003</v>
      </c>
      <c r="H179" s="469">
        <f t="shared" ref="H179:H180" si="43">D179*G179+20</f>
        <v>634.34</v>
      </c>
      <c r="I179" s="469">
        <f>1/1.5/0.12/0.24</f>
        <v>23.148148148148149</v>
      </c>
    </row>
    <row r="180" spans="1:9" ht="12.75" customHeight="1" x14ac:dyDescent="0.2">
      <c r="A180" s="589"/>
      <c r="B180" s="498" t="s">
        <v>325</v>
      </c>
      <c r="C180" s="588" t="s">
        <v>132</v>
      </c>
      <c r="D180" s="467">
        <v>42</v>
      </c>
      <c r="E180" s="468">
        <f>D180*1.5*0.05*0.25</f>
        <v>0.78750000000000009</v>
      </c>
      <c r="F180" s="469">
        <f t="shared" ref="F180" si="44">D180*1.5</f>
        <v>63</v>
      </c>
      <c r="G180" s="469">
        <v>13.95</v>
      </c>
      <c r="H180" s="469">
        <f t="shared" si="43"/>
        <v>605.9</v>
      </c>
      <c r="I180" s="469">
        <f>1/1.5/0.05/0.25</f>
        <v>53.333333333333329</v>
      </c>
    </row>
    <row r="181" spans="1:9" ht="12.75" customHeight="1" x14ac:dyDescent="0.2">
      <c r="A181" s="589"/>
      <c r="B181" s="498" t="s">
        <v>277</v>
      </c>
      <c r="C181" s="589"/>
      <c r="D181" s="467">
        <v>27</v>
      </c>
      <c r="E181" s="468">
        <f>D181*1.5*0.075*0.25</f>
        <v>0.75937500000000002</v>
      </c>
      <c r="F181" s="469">
        <f t="shared" si="42"/>
        <v>40.5</v>
      </c>
      <c r="G181" s="469">
        <v>20.92</v>
      </c>
      <c r="H181" s="469">
        <f t="shared" si="41"/>
        <v>584.84</v>
      </c>
      <c r="I181" s="469">
        <f>1/1.5/0.075/0.25</f>
        <v>35.555555555555557</v>
      </c>
    </row>
    <row r="182" spans="1:9" ht="12.75" customHeight="1" x14ac:dyDescent="0.2">
      <c r="A182" s="589"/>
      <c r="B182" s="498" t="s">
        <v>278</v>
      </c>
      <c r="C182" s="589"/>
      <c r="D182" s="467">
        <v>21</v>
      </c>
      <c r="E182" s="468">
        <f>D182*1.5*0.1*0.25</f>
        <v>0.78750000000000009</v>
      </c>
      <c r="F182" s="469">
        <f t="shared" si="42"/>
        <v>31.5</v>
      </c>
      <c r="G182" s="469">
        <v>27.83</v>
      </c>
      <c r="H182" s="469">
        <f t="shared" si="41"/>
        <v>604.42999999999995</v>
      </c>
      <c r="I182" s="469">
        <f>1/1.5/0.1/0.25</f>
        <v>26.666666666666664</v>
      </c>
    </row>
    <row r="183" spans="1:9" ht="12.75" customHeight="1" x14ac:dyDescent="0.2">
      <c r="A183" s="590"/>
      <c r="B183" s="498" t="s">
        <v>131</v>
      </c>
      <c r="C183" s="590"/>
      <c r="D183" s="443">
        <v>18</v>
      </c>
      <c r="E183" s="468">
        <f>D183*1.5*0.115*0.25</f>
        <v>0.77625</v>
      </c>
      <c r="F183" s="469">
        <f t="shared" si="42"/>
        <v>27</v>
      </c>
      <c r="G183" s="444">
        <v>32.049999999999997</v>
      </c>
      <c r="H183" s="469">
        <f t="shared" si="41"/>
        <v>596.9</v>
      </c>
      <c r="I183" s="469">
        <f>1/1.5/0.115/0.25</f>
        <v>23.188405797101446</v>
      </c>
    </row>
  </sheetData>
  <sheetProtection algorithmName="SHA-512" hashValue="txdSgCkHrcDumEyRJAyda3gnOeiELmE53k1Egjbwxi0Bmq/vL4H3W32Lkr8FaX4K+UTRNgGrJUDP7c83xbB5Ag==" saltValue="BOTiC7VLiwgd5Ui5mTFYeQ==" spinCount="100000" sheet="1" objects="1" scenarios="1" selectLockedCells="1" selectUnlockedCells="1"/>
  <mergeCells count="81">
    <mergeCell ref="A60:A64"/>
    <mergeCell ref="A50:T50"/>
    <mergeCell ref="A52:T52"/>
    <mergeCell ref="A54:B54"/>
    <mergeCell ref="A56:T56"/>
    <mergeCell ref="A57:B57"/>
    <mergeCell ref="A152:B152"/>
    <mergeCell ref="A150:T150"/>
    <mergeCell ref="I85:J85"/>
    <mergeCell ref="G85:H85"/>
    <mergeCell ref="G107:H107"/>
    <mergeCell ref="I107:J107"/>
    <mergeCell ref="K107:L107"/>
    <mergeCell ref="A106:T106"/>
    <mergeCell ref="K85:L85"/>
    <mergeCell ref="A107:B107"/>
    <mergeCell ref="A108:A111"/>
    <mergeCell ref="A112:A114"/>
    <mergeCell ref="A115:A118"/>
    <mergeCell ref="A119:A120"/>
    <mergeCell ref="A129:A133"/>
    <mergeCell ref="A128:L128"/>
    <mergeCell ref="A175:I175"/>
    <mergeCell ref="A177:A183"/>
    <mergeCell ref="C177:C179"/>
    <mergeCell ref="C180:C183"/>
    <mergeCell ref="A86:A89"/>
    <mergeCell ref="A93:A96"/>
    <mergeCell ref="A146:Q147"/>
    <mergeCell ref="C164:C173"/>
    <mergeCell ref="B169:B173"/>
    <mergeCell ref="A162:I162"/>
    <mergeCell ref="A156:A160"/>
    <mergeCell ref="A153:A154"/>
    <mergeCell ref="B164:B168"/>
    <mergeCell ref="A149:P149"/>
    <mergeCell ref="A121:A124"/>
    <mergeCell ref="A125:A127"/>
    <mergeCell ref="A148:P148"/>
    <mergeCell ref="A135:A139"/>
    <mergeCell ref="A141:A145"/>
    <mergeCell ref="A43:E43"/>
    <mergeCell ref="A15:B15"/>
    <mergeCell ref="A85:B85"/>
    <mergeCell ref="A103:A105"/>
    <mergeCell ref="A97:A98"/>
    <mergeCell ref="A90:A92"/>
    <mergeCell ref="A44:A48"/>
    <mergeCell ref="A70:B70"/>
    <mergeCell ref="A73:A79"/>
    <mergeCell ref="A72:D72"/>
    <mergeCell ref="A68:T68"/>
    <mergeCell ref="A66:T66"/>
    <mergeCell ref="A83:T83"/>
    <mergeCell ref="R15:S15"/>
    <mergeCell ref="A16:A21"/>
    <mergeCell ref="A36:B36"/>
    <mergeCell ref="A40:B40"/>
    <mergeCell ref="A22:T22"/>
    <mergeCell ref="H15:I15"/>
    <mergeCell ref="J15:K15"/>
    <mergeCell ref="L15:M15"/>
    <mergeCell ref="N15:O15"/>
    <mergeCell ref="A28:P28"/>
    <mergeCell ref="A23:A27"/>
    <mergeCell ref="A81:T81"/>
    <mergeCell ref="A99:A102"/>
    <mergeCell ref="A3:T3"/>
    <mergeCell ref="A1:T1"/>
    <mergeCell ref="A32:T32"/>
    <mergeCell ref="A34:T34"/>
    <mergeCell ref="A39:T39"/>
    <mergeCell ref="A7:B7"/>
    <mergeCell ref="A8:A13"/>
    <mergeCell ref="R7:S7"/>
    <mergeCell ref="N7:O7"/>
    <mergeCell ref="L7:M7"/>
    <mergeCell ref="J7:K7"/>
    <mergeCell ref="H7:I7"/>
    <mergeCell ref="A14:T14"/>
    <mergeCell ref="A5:T5"/>
  </mergeCells>
  <pageMargins left="0.23622047244094491" right="0.23622047244094491" top="0.55118110236220474" bottom="0.55118110236220474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44"/>
  <sheetViews>
    <sheetView showGridLines="0" topLeftCell="A19" zoomScaleNormal="100" workbookViewId="0">
      <selection activeCell="A32" sqref="A32:XFD43"/>
    </sheetView>
  </sheetViews>
  <sheetFormatPr defaultColWidth="9.140625" defaultRowHeight="12.75" x14ac:dyDescent="0.2"/>
  <cols>
    <col min="1" max="1" width="13" style="406" customWidth="1"/>
    <col min="2" max="2" width="10" style="406" customWidth="1"/>
    <col min="3" max="3" width="12.5703125" style="406" customWidth="1"/>
    <col min="4" max="4" width="11.140625" style="406" customWidth="1"/>
    <col min="5" max="5" width="8.85546875" style="406" customWidth="1"/>
    <col min="6" max="6" width="10.140625" style="406" customWidth="1"/>
    <col min="7" max="7" width="9.7109375" style="406" customWidth="1"/>
    <col min="8" max="8" width="10" style="406" customWidth="1"/>
    <col min="9" max="9" width="8.7109375" style="406" customWidth="1"/>
    <col min="10" max="10" width="9" style="406" customWidth="1"/>
    <col min="11" max="11" width="8.42578125" style="406" customWidth="1"/>
    <col min="12" max="12" width="13.140625" style="406" customWidth="1"/>
    <col min="13" max="13" width="12.5703125" style="406" customWidth="1"/>
    <col min="14" max="14" width="14.28515625" style="406" customWidth="1"/>
    <col min="15" max="15" width="14.85546875" style="406" customWidth="1"/>
    <col min="16" max="16" width="28.28515625" style="406" customWidth="1"/>
    <col min="17" max="16384" width="9.140625" style="406"/>
  </cols>
  <sheetData>
    <row r="1" spans="1:15" ht="15.75" x14ac:dyDescent="0.25">
      <c r="A1" s="607" t="s">
        <v>286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5" x14ac:dyDescent="0.2">
      <c r="D2" s="407"/>
    </row>
    <row r="3" spans="1:15" ht="11.25" customHeight="1" x14ac:dyDescent="0.2">
      <c r="A3" s="608" t="s">
        <v>269</v>
      </c>
      <c r="B3" s="608"/>
      <c r="C3" s="608"/>
      <c r="D3" s="608"/>
      <c r="E3" s="608"/>
      <c r="F3" s="608"/>
      <c r="G3" s="608"/>
      <c r="H3" s="608"/>
      <c r="I3" s="608"/>
      <c r="J3" s="608"/>
      <c r="K3" s="408"/>
      <c r="L3" s="408"/>
      <c r="M3" s="408"/>
    </row>
    <row r="4" spans="1:15" ht="11.25" customHeight="1" x14ac:dyDescent="0.2">
      <c r="A4" s="608"/>
      <c r="B4" s="608"/>
      <c r="C4" s="608"/>
      <c r="D4" s="608"/>
      <c r="E4" s="608"/>
      <c r="F4" s="608"/>
      <c r="G4" s="608"/>
      <c r="H4" s="608"/>
      <c r="I4" s="608"/>
      <c r="J4" s="608"/>
      <c r="K4" s="408"/>
      <c r="L4" s="408"/>
      <c r="M4" s="408"/>
    </row>
    <row r="5" spans="1:15" ht="11.25" customHeight="1" x14ac:dyDescent="0.2">
      <c r="D5" s="409"/>
      <c r="E5" s="410"/>
      <c r="F5" s="410"/>
      <c r="G5" s="411"/>
      <c r="H5" s="411"/>
      <c r="I5" s="411"/>
      <c r="J5" s="411"/>
      <c r="K5" s="411"/>
      <c r="L5" s="411"/>
      <c r="M5" s="411"/>
      <c r="N5" s="411"/>
      <c r="O5" s="411"/>
    </row>
    <row r="6" spans="1:15" x14ac:dyDescent="0.2">
      <c r="A6" s="606" t="s">
        <v>268</v>
      </c>
      <c r="B6" s="606"/>
      <c r="C6" s="606"/>
      <c r="D6" s="609" t="s">
        <v>226</v>
      </c>
      <c r="E6" s="609"/>
      <c r="F6" s="609"/>
      <c r="G6" s="609" t="s">
        <v>263</v>
      </c>
      <c r="H6" s="609"/>
      <c r="I6" s="609" t="s">
        <v>264</v>
      </c>
      <c r="J6" s="609"/>
    </row>
    <row r="7" spans="1:15" x14ac:dyDescent="0.2">
      <c r="A7" s="606"/>
      <c r="B7" s="606"/>
      <c r="C7" s="606"/>
      <c r="D7" s="412" t="s">
        <v>162</v>
      </c>
      <c r="E7" s="412" t="s">
        <v>163</v>
      </c>
      <c r="F7" s="412" t="s">
        <v>161</v>
      </c>
      <c r="G7" s="413" t="s">
        <v>175</v>
      </c>
      <c r="H7" s="413" t="s">
        <v>176</v>
      </c>
      <c r="I7" s="413" t="s">
        <v>175</v>
      </c>
      <c r="J7" s="413" t="s">
        <v>176</v>
      </c>
      <c r="M7" s="414"/>
    </row>
    <row r="8" spans="1:15" ht="15" customHeight="1" x14ac:dyDescent="0.2">
      <c r="A8" s="605" t="s">
        <v>266</v>
      </c>
      <c r="B8" s="605"/>
      <c r="C8" s="605"/>
      <c r="D8" s="415" t="s">
        <v>135</v>
      </c>
      <c r="E8" s="604" t="s">
        <v>135</v>
      </c>
      <c r="F8" s="604" t="s">
        <v>164</v>
      </c>
      <c r="G8" s="416">
        <f>K8/(1/0.24/0.24/0.59)</f>
        <v>40.780799999999992</v>
      </c>
      <c r="H8" s="416">
        <f>G8/0.59</f>
        <v>69.11999999999999</v>
      </c>
      <c r="I8" s="416">
        <f>K13/(1/0.24/0.24/0.59)</f>
        <v>43.05772799999999</v>
      </c>
      <c r="J8" s="416">
        <f>I8/0.59</f>
        <v>72.979199999999992</v>
      </c>
      <c r="K8" s="406">
        <v>1200</v>
      </c>
      <c r="L8" s="406" t="s">
        <v>51</v>
      </c>
      <c r="M8" s="417"/>
    </row>
    <row r="9" spans="1:15" ht="15" customHeight="1" x14ac:dyDescent="0.2">
      <c r="A9" s="605"/>
      <c r="B9" s="605"/>
      <c r="C9" s="605"/>
      <c r="D9" s="415" t="s">
        <v>136</v>
      </c>
      <c r="E9" s="604"/>
      <c r="F9" s="604"/>
      <c r="G9" s="416">
        <f>K8/(1/0.3/0.24/0.59)</f>
        <v>50.975999999999992</v>
      </c>
      <c r="H9" s="416">
        <f>G9/0.59</f>
        <v>86.399999999999991</v>
      </c>
      <c r="I9" s="416">
        <f>K13/(1/0.3/0.24/0.59)</f>
        <v>53.82215999999999</v>
      </c>
      <c r="J9" s="416">
        <f>I9/0.59</f>
        <v>91.22399999999999</v>
      </c>
      <c r="M9" s="417"/>
    </row>
    <row r="10" spans="1:15" ht="15" customHeight="1" x14ac:dyDescent="0.2">
      <c r="A10" s="605"/>
      <c r="B10" s="605"/>
      <c r="C10" s="605"/>
      <c r="D10" s="415" t="s">
        <v>177</v>
      </c>
      <c r="E10" s="604"/>
      <c r="F10" s="604"/>
      <c r="G10" s="416">
        <f>K8/(1/0.36/0.24/0.59)</f>
        <v>61.171199999999992</v>
      </c>
      <c r="H10" s="416">
        <f>G10/0.59</f>
        <v>103.67999999999999</v>
      </c>
      <c r="I10" s="416">
        <f>K13/(1/0.36/0.24/0.59)</f>
        <v>64.586591999999996</v>
      </c>
      <c r="J10" s="416">
        <f>I10/0.59</f>
        <v>109.4688</v>
      </c>
      <c r="M10" s="414"/>
    </row>
    <row r="11" spans="1:15" ht="15" customHeight="1" x14ac:dyDescent="0.2">
      <c r="A11" s="605" t="s">
        <v>267</v>
      </c>
      <c r="B11" s="605"/>
      <c r="C11" s="605"/>
      <c r="D11" s="418" t="s">
        <v>133</v>
      </c>
      <c r="E11" s="611" t="s">
        <v>132</v>
      </c>
      <c r="F11" s="610" t="s">
        <v>200</v>
      </c>
      <c r="G11" s="416">
        <f>K11/(1/0.175/0.25/0.625)</f>
        <v>32.8125</v>
      </c>
      <c r="H11" s="416">
        <f t="shared" ref="H11:H16" si="0">G11/0.625</f>
        <v>52.5</v>
      </c>
      <c r="I11" s="416">
        <f>K13/(1/0.175/0.25/0.625)</f>
        <v>34.64453125</v>
      </c>
      <c r="J11" s="416">
        <f>I11/0.625</f>
        <v>55.431249999999999</v>
      </c>
      <c r="K11" s="406">
        <v>1200</v>
      </c>
      <c r="L11" s="406" t="s">
        <v>120</v>
      </c>
      <c r="M11" s="417"/>
    </row>
    <row r="12" spans="1:15" ht="15" customHeight="1" x14ac:dyDescent="0.2">
      <c r="A12" s="605"/>
      <c r="B12" s="605"/>
      <c r="C12" s="605"/>
      <c r="D12" s="418" t="s">
        <v>134</v>
      </c>
      <c r="E12" s="611"/>
      <c r="F12" s="610"/>
      <c r="G12" s="416">
        <f>K11/(1/0.2/0.25/0.625)</f>
        <v>37.5</v>
      </c>
      <c r="H12" s="416">
        <f t="shared" si="0"/>
        <v>60</v>
      </c>
      <c r="I12" s="416">
        <f>K13/(1/0.2/0.25/0.625)</f>
        <v>39.59375</v>
      </c>
      <c r="J12" s="416">
        <f t="shared" ref="J12:J16" si="1">I12/0.625</f>
        <v>63.35</v>
      </c>
    </row>
    <row r="13" spans="1:15" ht="15" customHeight="1" x14ac:dyDescent="0.2">
      <c r="A13" s="605"/>
      <c r="B13" s="605"/>
      <c r="C13" s="605"/>
      <c r="D13" s="418" t="s">
        <v>135</v>
      </c>
      <c r="E13" s="611"/>
      <c r="F13" s="610"/>
      <c r="G13" s="416">
        <f>K11/(1/0.24/0.25/0.625)</f>
        <v>45</v>
      </c>
      <c r="H13" s="416">
        <f t="shared" si="0"/>
        <v>72</v>
      </c>
      <c r="I13" s="416">
        <f>K13/(1/0.24/0.25/0.625)</f>
        <v>47.512499999999996</v>
      </c>
      <c r="J13" s="416">
        <f t="shared" si="1"/>
        <v>76.02</v>
      </c>
      <c r="K13" s="406">
        <v>1267</v>
      </c>
      <c r="L13" s="406" t="s">
        <v>265</v>
      </c>
    </row>
    <row r="14" spans="1:15" ht="15" customHeight="1" x14ac:dyDescent="0.2">
      <c r="A14" s="605"/>
      <c r="B14" s="605"/>
      <c r="C14" s="605"/>
      <c r="D14" s="418" t="s">
        <v>136</v>
      </c>
      <c r="E14" s="611"/>
      <c r="F14" s="610"/>
      <c r="G14" s="416">
        <f>K11/(1/0.3/0.25/0.625)</f>
        <v>56.249999999999993</v>
      </c>
      <c r="H14" s="416">
        <f t="shared" si="0"/>
        <v>89.999999999999986</v>
      </c>
      <c r="I14" s="416">
        <f>K13/(1/0.3/0.25/0.625)</f>
        <v>59.390624999999993</v>
      </c>
      <c r="J14" s="416">
        <f t="shared" si="1"/>
        <v>95.024999999999991</v>
      </c>
    </row>
    <row r="15" spans="1:15" ht="15" customHeight="1" x14ac:dyDescent="0.2">
      <c r="A15" s="605"/>
      <c r="B15" s="605"/>
      <c r="C15" s="605"/>
      <c r="D15" s="418" t="s">
        <v>137</v>
      </c>
      <c r="E15" s="611"/>
      <c r="F15" s="610"/>
      <c r="G15" s="416">
        <f>K11/(1/0.365/0.25/0.625)</f>
        <v>68.4375</v>
      </c>
      <c r="H15" s="416">
        <f t="shared" si="0"/>
        <v>109.5</v>
      </c>
      <c r="I15" s="416">
        <f>K13/(1/0.365/0.25/0.625)</f>
        <v>72.258593750000003</v>
      </c>
      <c r="J15" s="416">
        <f t="shared" si="1"/>
        <v>115.61375000000001</v>
      </c>
      <c r="M15" s="414"/>
    </row>
    <row r="16" spans="1:15" ht="15" customHeight="1" x14ac:dyDescent="0.2">
      <c r="A16" s="605"/>
      <c r="B16" s="605"/>
      <c r="C16" s="605"/>
      <c r="D16" s="418" t="s">
        <v>189</v>
      </c>
      <c r="E16" s="611"/>
      <c r="F16" s="441" t="s">
        <v>276</v>
      </c>
      <c r="G16" s="416">
        <f>K11/(1/0.42/0.25/0.625)</f>
        <v>78.75</v>
      </c>
      <c r="H16" s="416">
        <f t="shared" si="0"/>
        <v>126</v>
      </c>
      <c r="I16" s="416">
        <f>K13/(1/0.42/0.25/0.625)</f>
        <v>83.146875000000009</v>
      </c>
      <c r="J16" s="416">
        <f t="shared" si="1"/>
        <v>133.03500000000003</v>
      </c>
    </row>
    <row r="17" spans="1:10" ht="11.25" customHeight="1" x14ac:dyDescent="0.2">
      <c r="A17" s="439" t="s">
        <v>287</v>
      </c>
      <c r="B17" s="419"/>
      <c r="C17" s="419"/>
      <c r="D17" s="420"/>
      <c r="E17" s="420"/>
      <c r="F17" s="421"/>
      <c r="G17" s="422"/>
      <c r="H17" s="422"/>
      <c r="I17" s="422"/>
      <c r="J17" s="422"/>
    </row>
    <row r="18" spans="1:10" ht="11.25" customHeight="1" x14ac:dyDescent="0.2"/>
    <row r="19" spans="1:10" ht="11.25" customHeight="1" x14ac:dyDescent="0.2">
      <c r="A19" s="423" t="s">
        <v>272</v>
      </c>
      <c r="B19" s="424"/>
      <c r="C19" s="412"/>
      <c r="D19" s="616" t="s">
        <v>274</v>
      </c>
      <c r="E19" s="606" t="s">
        <v>263</v>
      </c>
      <c r="F19" s="606"/>
      <c r="G19" s="613" t="s">
        <v>264</v>
      </c>
      <c r="H19" s="614"/>
      <c r="I19" s="615"/>
    </row>
    <row r="20" spans="1:10" ht="15" customHeight="1" x14ac:dyDescent="0.2">
      <c r="A20" s="425" t="s">
        <v>161</v>
      </c>
      <c r="B20" s="426" t="s">
        <v>162</v>
      </c>
      <c r="C20" s="425" t="s">
        <v>163</v>
      </c>
      <c r="D20" s="616"/>
      <c r="E20" s="427" t="s">
        <v>273</v>
      </c>
      <c r="F20" s="427" t="s">
        <v>281</v>
      </c>
      <c r="G20" s="427" t="s">
        <v>1</v>
      </c>
      <c r="H20" s="427" t="s">
        <v>282</v>
      </c>
      <c r="I20" s="427" t="s">
        <v>173</v>
      </c>
    </row>
    <row r="21" spans="1:10" ht="15" customHeight="1" x14ac:dyDescent="0.2">
      <c r="A21" s="415" t="s">
        <v>183</v>
      </c>
      <c r="B21" s="604" t="s">
        <v>131</v>
      </c>
      <c r="C21" s="604" t="s">
        <v>174</v>
      </c>
      <c r="D21" s="428">
        <v>0.75</v>
      </c>
      <c r="E21" s="429">
        <f>F21/55.65</f>
        <v>37.556154537286616</v>
      </c>
      <c r="F21" s="612">
        <v>2090</v>
      </c>
      <c r="G21" s="428">
        <f>H21/55.65</f>
        <v>38.634321653189581</v>
      </c>
      <c r="H21" s="612">
        <v>2150</v>
      </c>
      <c r="I21" s="604">
        <v>40</v>
      </c>
    </row>
    <row r="22" spans="1:10" ht="15" customHeight="1" x14ac:dyDescent="0.2">
      <c r="A22" s="415" t="s">
        <v>280</v>
      </c>
      <c r="B22" s="604"/>
      <c r="C22" s="604"/>
      <c r="D22" s="428">
        <v>1</v>
      </c>
      <c r="E22" s="429">
        <f>F21/46.38</f>
        <v>45.062526951272098</v>
      </c>
      <c r="F22" s="612"/>
      <c r="G22" s="428">
        <f>H21/46.38</f>
        <v>46.356188012074171</v>
      </c>
      <c r="H22" s="612"/>
      <c r="I22" s="604"/>
    </row>
    <row r="23" spans="1:10" ht="15" customHeight="1" x14ac:dyDescent="0.2">
      <c r="A23" s="415" t="s">
        <v>185</v>
      </c>
      <c r="B23" s="604"/>
      <c r="C23" s="604"/>
      <c r="D23" s="428">
        <v>1.5</v>
      </c>
      <c r="E23" s="429">
        <f>F21/34.78</f>
        <v>60.092006900517539</v>
      </c>
      <c r="F23" s="612"/>
      <c r="G23" s="428">
        <f>H21/34.78</f>
        <v>61.817136285221387</v>
      </c>
      <c r="H23" s="612"/>
      <c r="I23" s="604"/>
    </row>
    <row r="24" spans="1:10" ht="15" customHeight="1" x14ac:dyDescent="0.2">
      <c r="A24" s="415" t="s">
        <v>186</v>
      </c>
      <c r="B24" s="604"/>
      <c r="C24" s="604"/>
      <c r="D24" s="428">
        <v>2</v>
      </c>
      <c r="E24" s="429">
        <f>F21/27.83</f>
        <v>75.098814229249015</v>
      </c>
      <c r="F24" s="612"/>
      <c r="G24" s="428">
        <f>H21/27.83</f>
        <v>77.254761049227454</v>
      </c>
      <c r="H24" s="612"/>
      <c r="I24" s="604"/>
    </row>
    <row r="25" spans="1:10" ht="15" customHeight="1" x14ac:dyDescent="0.2">
      <c r="A25" s="415" t="s">
        <v>187</v>
      </c>
      <c r="B25" s="604"/>
      <c r="C25" s="604"/>
      <c r="D25" s="428">
        <v>2.5</v>
      </c>
      <c r="E25" s="429">
        <f>F21/23.18</f>
        <v>90.163934426229503</v>
      </c>
      <c r="F25" s="612"/>
      <c r="G25" s="428">
        <f>H21/23.18</f>
        <v>92.752372735116481</v>
      </c>
      <c r="H25" s="612"/>
      <c r="I25" s="604"/>
    </row>
    <row r="26" spans="1:10" ht="15" customHeight="1" x14ac:dyDescent="0.2">
      <c r="A26" s="415" t="s">
        <v>183</v>
      </c>
      <c r="B26" s="604" t="s">
        <v>133</v>
      </c>
      <c r="C26" s="604" t="s">
        <v>174</v>
      </c>
      <c r="D26" s="428">
        <v>0.75</v>
      </c>
      <c r="E26" s="429">
        <f>F21/36.57</f>
        <v>57.150669948044843</v>
      </c>
      <c r="F26" s="612"/>
      <c r="G26" s="428">
        <f>H21/36.57</f>
        <v>58.791359037462399</v>
      </c>
      <c r="H26" s="612"/>
      <c r="I26" s="604">
        <v>30</v>
      </c>
    </row>
    <row r="27" spans="1:10" ht="15" customHeight="1" x14ac:dyDescent="0.2">
      <c r="A27" s="415" t="s">
        <v>280</v>
      </c>
      <c r="B27" s="604"/>
      <c r="C27" s="604"/>
      <c r="D27" s="428">
        <v>1</v>
      </c>
      <c r="E27" s="429">
        <f>F21/30.48</f>
        <v>68.569553805774277</v>
      </c>
      <c r="F27" s="612"/>
      <c r="G27" s="428">
        <f>H21/30.48</f>
        <v>70.538057742782158</v>
      </c>
      <c r="H27" s="612"/>
      <c r="I27" s="604"/>
    </row>
    <row r="28" spans="1:10" ht="15" customHeight="1" x14ac:dyDescent="0.2">
      <c r="A28" s="415" t="s">
        <v>185</v>
      </c>
      <c r="B28" s="604"/>
      <c r="C28" s="604"/>
      <c r="D28" s="428">
        <v>1.5</v>
      </c>
      <c r="E28" s="429">
        <f>F21/22.86</f>
        <v>91.426071741032374</v>
      </c>
      <c r="F28" s="612"/>
      <c r="G28" s="428">
        <f>H21/22.86</f>
        <v>94.050743657042872</v>
      </c>
      <c r="H28" s="612"/>
      <c r="I28" s="604"/>
    </row>
    <row r="29" spans="1:10" ht="15" customHeight="1" x14ac:dyDescent="0.2">
      <c r="A29" s="415" t="s">
        <v>186</v>
      </c>
      <c r="B29" s="604"/>
      <c r="C29" s="604"/>
      <c r="D29" s="428">
        <v>2</v>
      </c>
      <c r="E29" s="429">
        <f>F21/18.29</f>
        <v>114.27009294696556</v>
      </c>
      <c r="F29" s="612"/>
      <c r="G29" s="428">
        <f>H21/18.29</f>
        <v>117.55057408419903</v>
      </c>
      <c r="H29" s="612"/>
      <c r="I29" s="604"/>
    </row>
    <row r="30" spans="1:10" ht="15" customHeight="1" x14ac:dyDescent="0.2">
      <c r="A30" s="415" t="s">
        <v>187</v>
      </c>
      <c r="B30" s="604"/>
      <c r="C30" s="604"/>
      <c r="D30" s="428">
        <v>2.5</v>
      </c>
      <c r="E30" s="429">
        <f>F21/15.24</f>
        <v>137.13910761154855</v>
      </c>
      <c r="F30" s="612"/>
      <c r="G30" s="428">
        <f>H21/15.24</f>
        <v>141.07611548556432</v>
      </c>
      <c r="H30" s="612"/>
      <c r="I30" s="604"/>
    </row>
    <row r="31" spans="1:10" ht="11.25" customHeight="1" x14ac:dyDescent="0.2"/>
    <row r="32" spans="1:10" s="399" customFormat="1" x14ac:dyDescent="0.2">
      <c r="A32" s="430" t="s">
        <v>271</v>
      </c>
      <c r="B32" s="431"/>
      <c r="C32" s="431"/>
      <c r="D32" s="431"/>
      <c r="E32" s="431"/>
      <c r="F32" s="431"/>
      <c r="G32" s="431"/>
      <c r="H32" s="431"/>
      <c r="I32" s="431"/>
    </row>
    <row r="33" spans="1:12" s="399" customFormat="1" ht="25.5" x14ac:dyDescent="0.2">
      <c r="A33" s="432" t="s">
        <v>161</v>
      </c>
      <c r="B33" s="432" t="s">
        <v>162</v>
      </c>
      <c r="C33" s="432" t="s">
        <v>163</v>
      </c>
      <c r="D33" s="433" t="s">
        <v>179</v>
      </c>
      <c r="E33" s="433" t="s">
        <v>283</v>
      </c>
      <c r="F33" s="433" t="s">
        <v>180</v>
      </c>
      <c r="G33" s="433" t="s">
        <v>181</v>
      </c>
      <c r="H33" s="433" t="s">
        <v>182</v>
      </c>
      <c r="I33" s="433" t="s">
        <v>284</v>
      </c>
    </row>
    <row r="34" spans="1:12" s="399" customFormat="1" ht="15" customHeight="1" x14ac:dyDescent="0.2">
      <c r="A34" s="434" t="s">
        <v>183</v>
      </c>
      <c r="B34" s="611" t="s">
        <v>131</v>
      </c>
      <c r="C34" s="611" t="s">
        <v>174</v>
      </c>
      <c r="D34" s="434">
        <v>40</v>
      </c>
      <c r="E34" s="435">
        <f>D34*1.25*0.115*0.125</f>
        <v>0.71875</v>
      </c>
      <c r="F34" s="436">
        <f>D34*1.25</f>
        <v>50</v>
      </c>
      <c r="G34" s="436">
        <v>12.58</v>
      </c>
      <c r="H34" s="436">
        <f t="shared" ref="H34:H43" si="2">D34*G34+20</f>
        <v>523.20000000000005</v>
      </c>
      <c r="I34" s="436">
        <v>55.65</v>
      </c>
    </row>
    <row r="35" spans="1:12" s="399" customFormat="1" ht="15" customHeight="1" x14ac:dyDescent="0.2">
      <c r="A35" s="434" t="s">
        <v>184</v>
      </c>
      <c r="B35" s="611"/>
      <c r="C35" s="611"/>
      <c r="D35" s="434">
        <v>40</v>
      </c>
      <c r="E35" s="435">
        <f>D35*1.5*0.115*0.125</f>
        <v>0.86250000000000004</v>
      </c>
      <c r="F35" s="436">
        <f>D35*1.5</f>
        <v>60</v>
      </c>
      <c r="G35" s="436">
        <v>15.09</v>
      </c>
      <c r="H35" s="436">
        <f t="shared" si="2"/>
        <v>623.6</v>
      </c>
      <c r="I35" s="436">
        <v>46.38</v>
      </c>
      <c r="J35" s="437"/>
      <c r="K35" s="437"/>
      <c r="L35" s="437"/>
    </row>
    <row r="36" spans="1:12" s="399" customFormat="1" ht="15" customHeight="1" x14ac:dyDescent="0.2">
      <c r="A36" s="434" t="s">
        <v>185</v>
      </c>
      <c r="B36" s="611"/>
      <c r="C36" s="611"/>
      <c r="D36" s="434">
        <v>40</v>
      </c>
      <c r="E36" s="435">
        <f>D36*2*0.115*0.125</f>
        <v>1.1500000000000001</v>
      </c>
      <c r="F36" s="436">
        <f>D36*2</f>
        <v>80</v>
      </c>
      <c r="G36" s="436">
        <v>20.13</v>
      </c>
      <c r="H36" s="436">
        <f t="shared" si="2"/>
        <v>825.19999999999993</v>
      </c>
      <c r="I36" s="436">
        <v>34.78</v>
      </c>
      <c r="J36" s="437"/>
      <c r="K36" s="437"/>
      <c r="L36" s="437"/>
    </row>
    <row r="37" spans="1:12" s="399" customFormat="1" ht="15" customHeight="1" x14ac:dyDescent="0.2">
      <c r="A37" s="434" t="s">
        <v>186</v>
      </c>
      <c r="B37" s="611"/>
      <c r="C37" s="611"/>
      <c r="D37" s="434">
        <v>40</v>
      </c>
      <c r="E37" s="435">
        <f>D37*2.5*0.115*0.125</f>
        <v>1.4375</v>
      </c>
      <c r="F37" s="436">
        <f>D37*2.5</f>
        <v>100</v>
      </c>
      <c r="G37" s="436">
        <v>25.16</v>
      </c>
      <c r="H37" s="436">
        <f t="shared" si="2"/>
        <v>1026.4000000000001</v>
      </c>
      <c r="I37" s="436">
        <v>27.83</v>
      </c>
      <c r="J37" s="437"/>
      <c r="K37" s="437"/>
      <c r="L37" s="437"/>
    </row>
    <row r="38" spans="1:12" s="399" customFormat="1" ht="15" customHeight="1" x14ac:dyDescent="0.2">
      <c r="A38" s="403" t="s">
        <v>187</v>
      </c>
      <c r="B38" s="611"/>
      <c r="C38" s="611"/>
      <c r="D38" s="403">
        <v>40</v>
      </c>
      <c r="E38" s="405">
        <f>D38*3*0.115*0.125</f>
        <v>1.7250000000000001</v>
      </c>
      <c r="F38" s="404">
        <f>D38*3</f>
        <v>120</v>
      </c>
      <c r="G38" s="404">
        <v>30.19</v>
      </c>
      <c r="H38" s="436">
        <f t="shared" si="2"/>
        <v>1227.6000000000001</v>
      </c>
      <c r="I38" s="404">
        <v>23.18</v>
      </c>
      <c r="J38" s="438"/>
      <c r="K38" s="438"/>
      <c r="L38" s="438"/>
    </row>
    <row r="39" spans="1:12" s="399" customFormat="1" ht="15" customHeight="1" x14ac:dyDescent="0.2">
      <c r="A39" s="434" t="s">
        <v>183</v>
      </c>
      <c r="B39" s="611" t="s">
        <v>133</v>
      </c>
      <c r="C39" s="611"/>
      <c r="D39" s="434">
        <v>30</v>
      </c>
      <c r="E39" s="435">
        <f>D39*1.25*0.175*0.125</f>
        <v>0.8203125</v>
      </c>
      <c r="F39" s="436">
        <f>D39*1.25</f>
        <v>37.5</v>
      </c>
      <c r="G39" s="436">
        <v>19.14</v>
      </c>
      <c r="H39" s="436">
        <f t="shared" si="2"/>
        <v>594.20000000000005</v>
      </c>
      <c r="I39" s="436">
        <v>36.57</v>
      </c>
      <c r="J39" s="437"/>
      <c r="K39" s="437"/>
      <c r="L39" s="437"/>
    </row>
    <row r="40" spans="1:12" s="399" customFormat="1" ht="15" customHeight="1" x14ac:dyDescent="0.2">
      <c r="A40" s="434" t="s">
        <v>184</v>
      </c>
      <c r="B40" s="611"/>
      <c r="C40" s="611"/>
      <c r="D40" s="434">
        <v>30</v>
      </c>
      <c r="E40" s="435">
        <f>D40*1.5*0.175*0.125</f>
        <v>0.98437499999999989</v>
      </c>
      <c r="F40" s="436">
        <f>D40*1.5</f>
        <v>45</v>
      </c>
      <c r="G40" s="436">
        <v>22.97</v>
      </c>
      <c r="H40" s="436">
        <f t="shared" si="2"/>
        <v>709.09999999999991</v>
      </c>
      <c r="I40" s="436">
        <v>30.48</v>
      </c>
      <c r="J40" s="437"/>
      <c r="K40" s="437"/>
      <c r="L40" s="437"/>
    </row>
    <row r="41" spans="1:12" s="399" customFormat="1" ht="15" customHeight="1" x14ac:dyDescent="0.2">
      <c r="A41" s="434" t="s">
        <v>185</v>
      </c>
      <c r="B41" s="611"/>
      <c r="C41" s="611"/>
      <c r="D41" s="434">
        <v>30</v>
      </c>
      <c r="E41" s="435">
        <f>D41*2*0.175*0.125</f>
        <v>1.3125</v>
      </c>
      <c r="F41" s="436">
        <f>D41*2</f>
        <v>60</v>
      </c>
      <c r="G41" s="436">
        <v>30.63</v>
      </c>
      <c r="H41" s="436">
        <f t="shared" si="2"/>
        <v>938.9</v>
      </c>
      <c r="I41" s="436">
        <v>22.86</v>
      </c>
      <c r="J41" s="437"/>
      <c r="K41" s="437"/>
      <c r="L41" s="437"/>
    </row>
    <row r="42" spans="1:12" s="399" customFormat="1" ht="15" customHeight="1" x14ac:dyDescent="0.2">
      <c r="A42" s="434" t="s">
        <v>186</v>
      </c>
      <c r="B42" s="611"/>
      <c r="C42" s="611"/>
      <c r="D42" s="434">
        <v>30</v>
      </c>
      <c r="E42" s="435">
        <f>D42*2.5*0.175*0.125</f>
        <v>1.640625</v>
      </c>
      <c r="F42" s="436">
        <f>D42*2.5</f>
        <v>75</v>
      </c>
      <c r="G42" s="436">
        <v>38.28</v>
      </c>
      <c r="H42" s="436">
        <f t="shared" si="2"/>
        <v>1168.4000000000001</v>
      </c>
      <c r="I42" s="436">
        <v>18.29</v>
      </c>
      <c r="J42" s="437"/>
      <c r="K42" s="437"/>
      <c r="L42" s="437"/>
    </row>
    <row r="43" spans="1:12" s="399" customFormat="1" ht="15" customHeight="1" x14ac:dyDescent="0.2">
      <c r="A43" s="403" t="s">
        <v>187</v>
      </c>
      <c r="B43" s="611"/>
      <c r="C43" s="611"/>
      <c r="D43" s="403">
        <v>30</v>
      </c>
      <c r="E43" s="405">
        <f>D43*3*0.175*0.125</f>
        <v>1.9687499999999998</v>
      </c>
      <c r="F43" s="404">
        <f>D43*3</f>
        <v>90</v>
      </c>
      <c r="G43" s="404">
        <v>45.94</v>
      </c>
      <c r="H43" s="436">
        <f t="shared" si="2"/>
        <v>1398.1999999999998</v>
      </c>
      <c r="I43" s="404">
        <v>15.24</v>
      </c>
      <c r="J43" s="438"/>
      <c r="K43" s="438"/>
      <c r="L43" s="438"/>
    </row>
    <row r="44" spans="1:12" x14ac:dyDescent="0.2">
      <c r="A44" s="440" t="s">
        <v>275</v>
      </c>
    </row>
  </sheetData>
  <mergeCells count="26">
    <mergeCell ref="H21:H30"/>
    <mergeCell ref="B26:B30"/>
    <mergeCell ref="C26:C30"/>
    <mergeCell ref="G19:I19"/>
    <mergeCell ref="I21:I25"/>
    <mergeCell ref="I26:I30"/>
    <mergeCell ref="D19:D20"/>
    <mergeCell ref="E19:F19"/>
    <mergeCell ref="B21:B25"/>
    <mergeCell ref="C21:C25"/>
    <mergeCell ref="F21:F30"/>
    <mergeCell ref="B34:B38"/>
    <mergeCell ref="C34:C43"/>
    <mergeCell ref="B39:B43"/>
    <mergeCell ref="E11:E16"/>
    <mergeCell ref="E8:E10"/>
    <mergeCell ref="F8:F10"/>
    <mergeCell ref="A8:C10"/>
    <mergeCell ref="A11:C16"/>
    <mergeCell ref="A6:C7"/>
    <mergeCell ref="A1:J1"/>
    <mergeCell ref="A3:J4"/>
    <mergeCell ref="D6:F6"/>
    <mergeCell ref="G6:H6"/>
    <mergeCell ref="I6:J6"/>
    <mergeCell ref="F11:F15"/>
  </mergeCell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&amp;CStrona 4 z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AQ43"/>
  <sheetViews>
    <sheetView showGridLines="0" topLeftCell="A19" zoomScale="110" zoomScaleNormal="110" workbookViewId="0">
      <selection activeCell="AE46" sqref="AE46"/>
    </sheetView>
  </sheetViews>
  <sheetFormatPr defaultColWidth="9.140625" defaultRowHeight="11.25" x14ac:dyDescent="0.2"/>
  <cols>
    <col min="1" max="1" width="9.85546875" style="339" customWidth="1"/>
    <col min="2" max="2" width="8.28515625" style="339" bestFit="1" customWidth="1"/>
    <col min="3" max="3" width="7" style="339" customWidth="1"/>
    <col min="4" max="4" width="5.5703125" style="339" customWidth="1"/>
    <col min="5" max="5" width="1.7109375" style="339" customWidth="1"/>
    <col min="6" max="6" width="1.42578125" style="339" customWidth="1"/>
    <col min="7" max="7" width="1.7109375" style="339" customWidth="1"/>
    <col min="8" max="8" width="1" style="339" customWidth="1"/>
    <col min="9" max="9" width="1.7109375" style="339" customWidth="1"/>
    <col min="10" max="10" width="1.140625" style="339" customWidth="1"/>
    <col min="11" max="11" width="1.7109375" style="339" customWidth="1"/>
    <col min="12" max="12" width="1.42578125" style="339" customWidth="1"/>
    <col min="13" max="13" width="2.85546875" style="339" customWidth="1"/>
    <col min="14" max="15" width="1.7109375" style="339" customWidth="1"/>
    <col min="16" max="16" width="1.28515625" style="339" customWidth="1"/>
    <col min="17" max="19" width="1.7109375" style="339" customWidth="1"/>
    <col min="20" max="20" width="1" style="339" customWidth="1"/>
    <col min="21" max="21" width="1.7109375" style="339" customWidth="1"/>
    <col min="22" max="22" width="2.28515625" style="339" customWidth="1"/>
    <col min="23" max="24" width="1.7109375" style="339" customWidth="1"/>
    <col min="25" max="25" width="0.42578125" style="339" customWidth="1"/>
    <col min="26" max="29" width="1.7109375" style="339" customWidth="1"/>
    <col min="30" max="30" width="2.140625" style="339" customWidth="1"/>
    <col min="31" max="31" width="2.85546875" style="339" customWidth="1"/>
    <col min="32" max="33" width="1.7109375" style="339" customWidth="1"/>
    <col min="34" max="34" width="1.140625" style="339" customWidth="1"/>
    <col min="35" max="35" width="0.5703125" style="339" customWidth="1"/>
    <col min="36" max="36" width="1.7109375" style="339" customWidth="1"/>
    <col min="37" max="37" width="0.7109375" style="339" customWidth="1"/>
    <col min="38" max="38" width="2" style="339" customWidth="1"/>
    <col min="39" max="39" width="1.85546875" style="339" customWidth="1"/>
    <col min="40" max="40" width="1.5703125" style="339" customWidth="1"/>
    <col min="41" max="41" width="0.85546875" style="339" customWidth="1"/>
    <col min="42" max="43" width="1" style="339" customWidth="1"/>
    <col min="44" max="16384" width="9.140625" style="339"/>
  </cols>
  <sheetData>
    <row r="1" spans="1:43" ht="12.75" x14ac:dyDescent="0.2">
      <c r="A1" s="1" t="s">
        <v>238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43" x14ac:dyDescent="0.2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43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1:43" x14ac:dyDescent="0.2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43" x14ac:dyDescent="0.2">
      <c r="A5" s="630" t="s">
        <v>234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30"/>
      <c r="AJ5" s="630"/>
      <c r="AK5" s="630"/>
      <c r="AL5" s="630"/>
      <c r="AM5" s="630"/>
      <c r="AN5" s="630"/>
      <c r="AO5" s="630"/>
      <c r="AP5" s="630"/>
      <c r="AQ5" s="630"/>
    </row>
    <row r="6" spans="1:43" x14ac:dyDescent="0.2">
      <c r="A6" s="356" t="s">
        <v>162</v>
      </c>
      <c r="B6" s="356" t="s">
        <v>163</v>
      </c>
      <c r="C6" s="628" t="s">
        <v>161</v>
      </c>
      <c r="D6" s="628"/>
      <c r="E6" s="634" t="s">
        <v>179</v>
      </c>
      <c r="F6" s="634"/>
      <c r="G6" s="634"/>
      <c r="H6" s="634"/>
      <c r="I6" s="634"/>
      <c r="J6" s="634"/>
      <c r="K6" s="634" t="s">
        <v>232</v>
      </c>
      <c r="L6" s="634"/>
      <c r="M6" s="634"/>
      <c r="N6" s="634"/>
      <c r="O6" s="634"/>
      <c r="P6" s="634"/>
      <c r="Q6" s="634" t="s">
        <v>180</v>
      </c>
      <c r="R6" s="634"/>
      <c r="S6" s="634"/>
      <c r="T6" s="634"/>
      <c r="U6" s="634"/>
      <c r="V6" s="634"/>
      <c r="W6" s="634" t="s">
        <v>181</v>
      </c>
      <c r="X6" s="634"/>
      <c r="Y6" s="634"/>
      <c r="Z6" s="634"/>
      <c r="AA6" s="634"/>
      <c r="AB6" s="634"/>
      <c r="AC6" s="634" t="s">
        <v>182</v>
      </c>
      <c r="AD6" s="634"/>
      <c r="AE6" s="634"/>
      <c r="AF6" s="634"/>
      <c r="AG6" s="634"/>
      <c r="AH6" s="634"/>
      <c r="AI6" s="634"/>
      <c r="AJ6" s="634" t="s">
        <v>233</v>
      </c>
      <c r="AK6" s="634"/>
      <c r="AL6" s="634"/>
      <c r="AM6" s="634"/>
      <c r="AN6" s="634"/>
      <c r="AO6" s="634"/>
      <c r="AP6" s="634"/>
      <c r="AQ6" s="634"/>
    </row>
    <row r="7" spans="1:43" ht="12.75" customHeight="1" x14ac:dyDescent="0.2">
      <c r="A7" s="628" t="s">
        <v>131</v>
      </c>
      <c r="B7" s="628" t="s">
        <v>174</v>
      </c>
      <c r="C7" s="632" t="s">
        <v>183</v>
      </c>
      <c r="D7" s="632"/>
      <c r="E7" s="632">
        <v>40</v>
      </c>
      <c r="F7" s="632"/>
      <c r="G7" s="632"/>
      <c r="H7" s="632"/>
      <c r="I7" s="632"/>
      <c r="J7" s="632"/>
      <c r="K7" s="633">
        <f>E7*1.25*0.115*0.125</f>
        <v>0.71875</v>
      </c>
      <c r="L7" s="633"/>
      <c r="M7" s="633"/>
      <c r="N7" s="633"/>
      <c r="O7" s="633"/>
      <c r="P7" s="633"/>
      <c r="Q7" s="631">
        <f>E7*1.25</f>
        <v>50</v>
      </c>
      <c r="R7" s="631"/>
      <c r="S7" s="631"/>
      <c r="T7" s="631"/>
      <c r="U7" s="631"/>
      <c r="V7" s="631"/>
      <c r="W7" s="631">
        <v>12.58</v>
      </c>
      <c r="X7" s="631"/>
      <c r="Y7" s="631"/>
      <c r="Z7" s="631"/>
      <c r="AA7" s="631"/>
      <c r="AB7" s="631"/>
      <c r="AC7" s="631">
        <f t="shared" ref="AC7:AC20" si="0">E7*W7+20</f>
        <v>523.20000000000005</v>
      </c>
      <c r="AD7" s="631"/>
      <c r="AE7" s="631"/>
      <c r="AF7" s="631"/>
      <c r="AG7" s="631"/>
      <c r="AH7" s="631"/>
      <c r="AI7" s="631"/>
      <c r="AJ7" s="631">
        <v>55.65</v>
      </c>
      <c r="AK7" s="631"/>
      <c r="AL7" s="631"/>
      <c r="AM7" s="631"/>
      <c r="AN7" s="631"/>
      <c r="AO7" s="631"/>
      <c r="AP7" s="631"/>
      <c r="AQ7" s="631"/>
    </row>
    <row r="8" spans="1:43" ht="12.75" customHeight="1" x14ac:dyDescent="0.2">
      <c r="A8" s="628"/>
      <c r="B8" s="628"/>
      <c r="C8" s="632" t="s">
        <v>184</v>
      </c>
      <c r="D8" s="632"/>
      <c r="E8" s="632">
        <v>40</v>
      </c>
      <c r="F8" s="632"/>
      <c r="G8" s="632"/>
      <c r="H8" s="632"/>
      <c r="I8" s="632"/>
      <c r="J8" s="632"/>
      <c r="K8" s="633">
        <f>E8*1.5*0.115*0.125</f>
        <v>0.86250000000000004</v>
      </c>
      <c r="L8" s="633"/>
      <c r="M8" s="633"/>
      <c r="N8" s="633"/>
      <c r="O8" s="633"/>
      <c r="P8" s="633"/>
      <c r="Q8" s="631">
        <f>E8*1.5</f>
        <v>60</v>
      </c>
      <c r="R8" s="631"/>
      <c r="S8" s="631"/>
      <c r="T8" s="631"/>
      <c r="U8" s="631"/>
      <c r="V8" s="631"/>
      <c r="W8" s="631">
        <v>15.09</v>
      </c>
      <c r="X8" s="631"/>
      <c r="Y8" s="631"/>
      <c r="Z8" s="631"/>
      <c r="AA8" s="631"/>
      <c r="AB8" s="631"/>
      <c r="AC8" s="631">
        <f t="shared" si="0"/>
        <v>623.6</v>
      </c>
      <c r="AD8" s="631"/>
      <c r="AE8" s="631"/>
      <c r="AF8" s="631"/>
      <c r="AG8" s="631"/>
      <c r="AH8" s="631"/>
      <c r="AI8" s="631"/>
      <c r="AJ8" s="631">
        <v>46.38</v>
      </c>
      <c r="AK8" s="631"/>
      <c r="AL8" s="631"/>
      <c r="AM8" s="631"/>
      <c r="AN8" s="631"/>
      <c r="AO8" s="631"/>
      <c r="AP8" s="631"/>
      <c r="AQ8" s="631"/>
    </row>
    <row r="9" spans="1:43" ht="12.75" customHeight="1" x14ac:dyDescent="0.2">
      <c r="A9" s="628"/>
      <c r="B9" s="628"/>
      <c r="C9" s="632" t="s">
        <v>185</v>
      </c>
      <c r="D9" s="632"/>
      <c r="E9" s="632">
        <v>40</v>
      </c>
      <c r="F9" s="632"/>
      <c r="G9" s="632"/>
      <c r="H9" s="632"/>
      <c r="I9" s="632"/>
      <c r="J9" s="632"/>
      <c r="K9" s="633">
        <f>E9*2*0.115*0.125</f>
        <v>1.1500000000000001</v>
      </c>
      <c r="L9" s="633"/>
      <c r="M9" s="633"/>
      <c r="N9" s="633"/>
      <c r="O9" s="633"/>
      <c r="P9" s="633"/>
      <c r="Q9" s="631">
        <f>E9*2</f>
        <v>80</v>
      </c>
      <c r="R9" s="631"/>
      <c r="S9" s="631"/>
      <c r="T9" s="631"/>
      <c r="U9" s="631"/>
      <c r="V9" s="631"/>
      <c r="W9" s="631">
        <v>20.13</v>
      </c>
      <c r="X9" s="631"/>
      <c r="Y9" s="631"/>
      <c r="Z9" s="631"/>
      <c r="AA9" s="631"/>
      <c r="AB9" s="631"/>
      <c r="AC9" s="631">
        <f t="shared" si="0"/>
        <v>825.19999999999993</v>
      </c>
      <c r="AD9" s="631"/>
      <c r="AE9" s="631"/>
      <c r="AF9" s="631"/>
      <c r="AG9" s="631"/>
      <c r="AH9" s="631"/>
      <c r="AI9" s="631"/>
      <c r="AJ9" s="631">
        <v>34.78</v>
      </c>
      <c r="AK9" s="631"/>
      <c r="AL9" s="631"/>
      <c r="AM9" s="631"/>
      <c r="AN9" s="631"/>
      <c r="AO9" s="631"/>
      <c r="AP9" s="631"/>
      <c r="AQ9" s="631"/>
    </row>
    <row r="10" spans="1:43" ht="12.75" customHeight="1" x14ac:dyDescent="0.2">
      <c r="A10" s="628"/>
      <c r="B10" s="628"/>
      <c r="C10" s="632" t="s">
        <v>186</v>
      </c>
      <c r="D10" s="632"/>
      <c r="E10" s="632">
        <v>40</v>
      </c>
      <c r="F10" s="632"/>
      <c r="G10" s="632"/>
      <c r="H10" s="632"/>
      <c r="I10" s="632"/>
      <c r="J10" s="632"/>
      <c r="K10" s="633">
        <f>E10*2.5*0.115*0.125</f>
        <v>1.4375</v>
      </c>
      <c r="L10" s="633"/>
      <c r="M10" s="633"/>
      <c r="N10" s="633"/>
      <c r="O10" s="633"/>
      <c r="P10" s="633"/>
      <c r="Q10" s="631">
        <f>E10*2.5</f>
        <v>100</v>
      </c>
      <c r="R10" s="631"/>
      <c r="S10" s="631"/>
      <c r="T10" s="631"/>
      <c r="U10" s="631"/>
      <c r="V10" s="631"/>
      <c r="W10" s="631">
        <v>25.16</v>
      </c>
      <c r="X10" s="631"/>
      <c r="Y10" s="631"/>
      <c r="Z10" s="631"/>
      <c r="AA10" s="631"/>
      <c r="AB10" s="631"/>
      <c r="AC10" s="631">
        <f t="shared" si="0"/>
        <v>1026.4000000000001</v>
      </c>
      <c r="AD10" s="631"/>
      <c r="AE10" s="631"/>
      <c r="AF10" s="631"/>
      <c r="AG10" s="631"/>
      <c r="AH10" s="631"/>
      <c r="AI10" s="631"/>
      <c r="AJ10" s="631">
        <v>27.83</v>
      </c>
      <c r="AK10" s="631"/>
      <c r="AL10" s="631"/>
      <c r="AM10" s="631"/>
      <c r="AN10" s="631"/>
      <c r="AO10" s="631"/>
      <c r="AP10" s="631"/>
      <c r="AQ10" s="631"/>
    </row>
    <row r="11" spans="1:43" ht="12.75" customHeight="1" x14ac:dyDescent="0.2">
      <c r="A11" s="628"/>
      <c r="B11" s="628"/>
      <c r="C11" s="623" t="s">
        <v>187</v>
      </c>
      <c r="D11" s="623"/>
      <c r="E11" s="623">
        <v>40</v>
      </c>
      <c r="F11" s="623"/>
      <c r="G11" s="623"/>
      <c r="H11" s="623"/>
      <c r="I11" s="623"/>
      <c r="J11" s="623"/>
      <c r="K11" s="624">
        <f>E11*3*0.115*0.125</f>
        <v>1.7250000000000001</v>
      </c>
      <c r="L11" s="624"/>
      <c r="M11" s="624"/>
      <c r="N11" s="624"/>
      <c r="O11" s="624"/>
      <c r="P11" s="624"/>
      <c r="Q11" s="625">
        <f>E11*3</f>
        <v>120</v>
      </c>
      <c r="R11" s="625"/>
      <c r="S11" s="625"/>
      <c r="T11" s="625"/>
      <c r="U11" s="625"/>
      <c r="V11" s="625"/>
      <c r="W11" s="625">
        <v>30.19</v>
      </c>
      <c r="X11" s="625"/>
      <c r="Y11" s="625"/>
      <c r="Z11" s="625"/>
      <c r="AA11" s="625"/>
      <c r="AB11" s="625"/>
      <c r="AC11" s="631">
        <f t="shared" si="0"/>
        <v>1227.6000000000001</v>
      </c>
      <c r="AD11" s="631"/>
      <c r="AE11" s="631"/>
      <c r="AF11" s="631"/>
      <c r="AG11" s="631"/>
      <c r="AH11" s="631"/>
      <c r="AI11" s="631"/>
      <c r="AJ11" s="625">
        <v>23.18</v>
      </c>
      <c r="AK11" s="625"/>
      <c r="AL11" s="625"/>
      <c r="AM11" s="625"/>
      <c r="AN11" s="625"/>
      <c r="AO11" s="625"/>
      <c r="AP11" s="625"/>
      <c r="AQ11" s="625"/>
    </row>
    <row r="12" spans="1:43" ht="12.75" customHeight="1" x14ac:dyDescent="0.2">
      <c r="A12" s="628" t="s">
        <v>133</v>
      </c>
      <c r="B12" s="628"/>
      <c r="C12" s="632" t="s">
        <v>183</v>
      </c>
      <c r="D12" s="632"/>
      <c r="E12" s="632">
        <v>30</v>
      </c>
      <c r="F12" s="632"/>
      <c r="G12" s="632"/>
      <c r="H12" s="632"/>
      <c r="I12" s="632"/>
      <c r="J12" s="632"/>
      <c r="K12" s="633">
        <f>E12*1.25*0.175*0.125</f>
        <v>0.8203125</v>
      </c>
      <c r="L12" s="633"/>
      <c r="M12" s="633"/>
      <c r="N12" s="633"/>
      <c r="O12" s="633"/>
      <c r="P12" s="633"/>
      <c r="Q12" s="631">
        <f>E12*1.25</f>
        <v>37.5</v>
      </c>
      <c r="R12" s="631"/>
      <c r="S12" s="631"/>
      <c r="T12" s="631"/>
      <c r="U12" s="631"/>
      <c r="V12" s="631"/>
      <c r="W12" s="631">
        <v>19.14</v>
      </c>
      <c r="X12" s="631"/>
      <c r="Y12" s="631"/>
      <c r="Z12" s="631"/>
      <c r="AA12" s="631"/>
      <c r="AB12" s="631"/>
      <c r="AC12" s="631">
        <f t="shared" si="0"/>
        <v>594.20000000000005</v>
      </c>
      <c r="AD12" s="631"/>
      <c r="AE12" s="631"/>
      <c r="AF12" s="631"/>
      <c r="AG12" s="631"/>
      <c r="AH12" s="631"/>
      <c r="AI12" s="631"/>
      <c r="AJ12" s="631">
        <v>36.57</v>
      </c>
      <c r="AK12" s="631"/>
      <c r="AL12" s="631"/>
      <c r="AM12" s="631"/>
      <c r="AN12" s="631"/>
      <c r="AO12" s="631"/>
      <c r="AP12" s="631"/>
      <c r="AQ12" s="631"/>
    </row>
    <row r="13" spans="1:43" ht="12.75" customHeight="1" x14ac:dyDescent="0.2">
      <c r="A13" s="628"/>
      <c r="B13" s="628"/>
      <c r="C13" s="632" t="s">
        <v>184</v>
      </c>
      <c r="D13" s="632"/>
      <c r="E13" s="632">
        <v>30</v>
      </c>
      <c r="F13" s="632"/>
      <c r="G13" s="632"/>
      <c r="H13" s="632"/>
      <c r="I13" s="632"/>
      <c r="J13" s="632"/>
      <c r="K13" s="633">
        <f>E13*1.5*0.175*0.125</f>
        <v>0.98437499999999989</v>
      </c>
      <c r="L13" s="633"/>
      <c r="M13" s="633"/>
      <c r="N13" s="633"/>
      <c r="O13" s="633"/>
      <c r="P13" s="633"/>
      <c r="Q13" s="631">
        <f>E13*1.5</f>
        <v>45</v>
      </c>
      <c r="R13" s="631"/>
      <c r="S13" s="631"/>
      <c r="T13" s="631"/>
      <c r="U13" s="631"/>
      <c r="V13" s="631"/>
      <c r="W13" s="631">
        <v>22.97</v>
      </c>
      <c r="X13" s="631"/>
      <c r="Y13" s="631"/>
      <c r="Z13" s="631"/>
      <c r="AA13" s="631"/>
      <c r="AB13" s="631"/>
      <c r="AC13" s="631">
        <f t="shared" si="0"/>
        <v>709.09999999999991</v>
      </c>
      <c r="AD13" s="631"/>
      <c r="AE13" s="631"/>
      <c r="AF13" s="631"/>
      <c r="AG13" s="631"/>
      <c r="AH13" s="631"/>
      <c r="AI13" s="631"/>
      <c r="AJ13" s="631">
        <v>30.48</v>
      </c>
      <c r="AK13" s="631"/>
      <c r="AL13" s="631"/>
      <c r="AM13" s="631"/>
      <c r="AN13" s="631"/>
      <c r="AO13" s="631"/>
      <c r="AP13" s="631"/>
      <c r="AQ13" s="631"/>
    </row>
    <row r="14" spans="1:43" ht="12.75" customHeight="1" x14ac:dyDescent="0.2">
      <c r="A14" s="628"/>
      <c r="B14" s="628"/>
      <c r="C14" s="632" t="s">
        <v>185</v>
      </c>
      <c r="D14" s="632"/>
      <c r="E14" s="632">
        <v>30</v>
      </c>
      <c r="F14" s="632"/>
      <c r="G14" s="632"/>
      <c r="H14" s="632"/>
      <c r="I14" s="632"/>
      <c r="J14" s="632"/>
      <c r="K14" s="633">
        <f>E14*2*0.175*0.125</f>
        <v>1.3125</v>
      </c>
      <c r="L14" s="633"/>
      <c r="M14" s="633"/>
      <c r="N14" s="633"/>
      <c r="O14" s="633"/>
      <c r="P14" s="633"/>
      <c r="Q14" s="631">
        <f>E14*2</f>
        <v>60</v>
      </c>
      <c r="R14" s="631"/>
      <c r="S14" s="631"/>
      <c r="T14" s="631"/>
      <c r="U14" s="631"/>
      <c r="V14" s="631"/>
      <c r="W14" s="631">
        <v>30.63</v>
      </c>
      <c r="X14" s="631"/>
      <c r="Y14" s="631"/>
      <c r="Z14" s="631"/>
      <c r="AA14" s="631"/>
      <c r="AB14" s="631"/>
      <c r="AC14" s="631">
        <f t="shared" si="0"/>
        <v>938.9</v>
      </c>
      <c r="AD14" s="631"/>
      <c r="AE14" s="631"/>
      <c r="AF14" s="631"/>
      <c r="AG14" s="631"/>
      <c r="AH14" s="631"/>
      <c r="AI14" s="631"/>
      <c r="AJ14" s="631">
        <v>22.86</v>
      </c>
      <c r="AK14" s="631"/>
      <c r="AL14" s="631"/>
      <c r="AM14" s="631"/>
      <c r="AN14" s="631"/>
      <c r="AO14" s="631"/>
      <c r="AP14" s="631"/>
      <c r="AQ14" s="631"/>
    </row>
    <row r="15" spans="1:43" ht="12.75" customHeight="1" x14ac:dyDescent="0.2">
      <c r="A15" s="628"/>
      <c r="B15" s="628"/>
      <c r="C15" s="632" t="s">
        <v>186</v>
      </c>
      <c r="D15" s="632"/>
      <c r="E15" s="632">
        <v>30</v>
      </c>
      <c r="F15" s="632"/>
      <c r="G15" s="632"/>
      <c r="H15" s="632"/>
      <c r="I15" s="632"/>
      <c r="J15" s="632"/>
      <c r="K15" s="633">
        <f>E15*2.5*0.175*0.125</f>
        <v>1.640625</v>
      </c>
      <c r="L15" s="633"/>
      <c r="M15" s="633"/>
      <c r="N15" s="633"/>
      <c r="O15" s="633"/>
      <c r="P15" s="633"/>
      <c r="Q15" s="631">
        <f>E15*2.5</f>
        <v>75</v>
      </c>
      <c r="R15" s="631"/>
      <c r="S15" s="631"/>
      <c r="T15" s="631"/>
      <c r="U15" s="631"/>
      <c r="V15" s="631"/>
      <c r="W15" s="631">
        <v>38.28</v>
      </c>
      <c r="X15" s="631"/>
      <c r="Y15" s="631"/>
      <c r="Z15" s="631"/>
      <c r="AA15" s="631"/>
      <c r="AB15" s="631"/>
      <c r="AC15" s="631">
        <f t="shared" si="0"/>
        <v>1168.4000000000001</v>
      </c>
      <c r="AD15" s="631"/>
      <c r="AE15" s="631"/>
      <c r="AF15" s="631"/>
      <c r="AG15" s="631"/>
      <c r="AH15" s="631"/>
      <c r="AI15" s="631"/>
      <c r="AJ15" s="631">
        <v>18.29</v>
      </c>
      <c r="AK15" s="631"/>
      <c r="AL15" s="631"/>
      <c r="AM15" s="631"/>
      <c r="AN15" s="631"/>
      <c r="AO15" s="631"/>
      <c r="AP15" s="631"/>
      <c r="AQ15" s="631"/>
    </row>
    <row r="16" spans="1:43" ht="12.75" customHeight="1" x14ac:dyDescent="0.2">
      <c r="A16" s="628"/>
      <c r="B16" s="628"/>
      <c r="C16" s="623" t="s">
        <v>187</v>
      </c>
      <c r="D16" s="623"/>
      <c r="E16" s="623">
        <v>30</v>
      </c>
      <c r="F16" s="623"/>
      <c r="G16" s="623"/>
      <c r="H16" s="623"/>
      <c r="I16" s="623"/>
      <c r="J16" s="623"/>
      <c r="K16" s="624">
        <f>E16*3*0.175*0.125</f>
        <v>1.9687499999999998</v>
      </c>
      <c r="L16" s="624"/>
      <c r="M16" s="624"/>
      <c r="N16" s="624"/>
      <c r="O16" s="624"/>
      <c r="P16" s="624"/>
      <c r="Q16" s="625">
        <f>E16*3</f>
        <v>90</v>
      </c>
      <c r="R16" s="625"/>
      <c r="S16" s="625"/>
      <c r="T16" s="625"/>
      <c r="U16" s="625"/>
      <c r="V16" s="625"/>
      <c r="W16" s="625">
        <v>45.94</v>
      </c>
      <c r="X16" s="625"/>
      <c r="Y16" s="625"/>
      <c r="Z16" s="625"/>
      <c r="AA16" s="625"/>
      <c r="AB16" s="625"/>
      <c r="AC16" s="631">
        <f t="shared" si="0"/>
        <v>1398.1999999999998</v>
      </c>
      <c r="AD16" s="631"/>
      <c r="AE16" s="631"/>
      <c r="AF16" s="631"/>
      <c r="AG16" s="631"/>
      <c r="AH16" s="631"/>
      <c r="AI16" s="631"/>
      <c r="AJ16" s="625">
        <v>15.24</v>
      </c>
      <c r="AK16" s="625"/>
      <c r="AL16" s="625"/>
      <c r="AM16" s="625"/>
      <c r="AN16" s="625"/>
      <c r="AO16" s="625"/>
      <c r="AP16" s="625"/>
      <c r="AQ16" s="625"/>
    </row>
    <row r="17" spans="1:43" ht="12.75" customHeight="1" x14ac:dyDescent="0.2">
      <c r="A17" s="628" t="s">
        <v>135</v>
      </c>
      <c r="B17" s="628" t="s">
        <v>132</v>
      </c>
      <c r="C17" s="623" t="s">
        <v>184</v>
      </c>
      <c r="D17" s="623"/>
      <c r="E17" s="623">
        <v>12</v>
      </c>
      <c r="F17" s="623"/>
      <c r="G17" s="623"/>
      <c r="H17" s="623"/>
      <c r="I17" s="623"/>
      <c r="J17" s="623"/>
      <c r="K17" s="624">
        <f>E17*1.5*0.24*0.25</f>
        <v>1.08</v>
      </c>
      <c r="L17" s="624"/>
      <c r="M17" s="624"/>
      <c r="N17" s="624"/>
      <c r="O17" s="624"/>
      <c r="P17" s="624"/>
      <c r="Q17" s="625">
        <f>E17*1.5</f>
        <v>18</v>
      </c>
      <c r="R17" s="625"/>
      <c r="S17" s="625"/>
      <c r="T17" s="625"/>
      <c r="U17" s="625"/>
      <c r="V17" s="625"/>
      <c r="W17" s="625">
        <v>90.9</v>
      </c>
      <c r="X17" s="625"/>
      <c r="Y17" s="625"/>
      <c r="Z17" s="625"/>
      <c r="AA17" s="625"/>
      <c r="AB17" s="625"/>
      <c r="AC17" s="631">
        <f t="shared" si="0"/>
        <v>1110.8000000000002</v>
      </c>
      <c r="AD17" s="631"/>
      <c r="AE17" s="631"/>
      <c r="AF17" s="631"/>
      <c r="AG17" s="631"/>
      <c r="AH17" s="631"/>
      <c r="AI17" s="631"/>
      <c r="AJ17" s="625">
        <v>11.11</v>
      </c>
      <c r="AK17" s="625"/>
      <c r="AL17" s="625"/>
      <c r="AM17" s="625"/>
      <c r="AN17" s="625"/>
      <c r="AO17" s="625"/>
      <c r="AP17" s="625"/>
      <c r="AQ17" s="625"/>
    </row>
    <row r="18" spans="1:43" ht="12.75" customHeight="1" x14ac:dyDescent="0.2">
      <c r="A18" s="628"/>
      <c r="B18" s="628"/>
      <c r="C18" s="623" t="s">
        <v>185</v>
      </c>
      <c r="D18" s="623"/>
      <c r="E18" s="623">
        <v>12</v>
      </c>
      <c r="F18" s="623"/>
      <c r="G18" s="623"/>
      <c r="H18" s="623"/>
      <c r="I18" s="623"/>
      <c r="J18" s="623"/>
      <c r="K18" s="624">
        <f>E18*2*0.24*0.25</f>
        <v>1.44</v>
      </c>
      <c r="L18" s="624"/>
      <c r="M18" s="624"/>
      <c r="N18" s="624"/>
      <c r="O18" s="624"/>
      <c r="P18" s="624"/>
      <c r="Q18" s="625">
        <f>E18*2</f>
        <v>24</v>
      </c>
      <c r="R18" s="625"/>
      <c r="S18" s="625"/>
      <c r="T18" s="625"/>
      <c r="U18" s="625"/>
      <c r="V18" s="625"/>
      <c r="W18" s="625">
        <v>121.2</v>
      </c>
      <c r="X18" s="625"/>
      <c r="Y18" s="625"/>
      <c r="Z18" s="625"/>
      <c r="AA18" s="625"/>
      <c r="AB18" s="625"/>
      <c r="AC18" s="631">
        <f t="shared" si="0"/>
        <v>1474.4</v>
      </c>
      <c r="AD18" s="631"/>
      <c r="AE18" s="631"/>
      <c r="AF18" s="631"/>
      <c r="AG18" s="631"/>
      <c r="AH18" s="631"/>
      <c r="AI18" s="631"/>
      <c r="AJ18" s="625">
        <v>8.33</v>
      </c>
      <c r="AK18" s="625"/>
      <c r="AL18" s="625"/>
      <c r="AM18" s="625"/>
      <c r="AN18" s="625"/>
      <c r="AO18" s="625"/>
      <c r="AP18" s="625"/>
      <c r="AQ18" s="625"/>
    </row>
    <row r="19" spans="1:43" ht="12.75" customHeight="1" x14ac:dyDescent="0.2">
      <c r="A19" s="628" t="s">
        <v>137</v>
      </c>
      <c r="B19" s="628"/>
      <c r="C19" s="623" t="s">
        <v>184</v>
      </c>
      <c r="D19" s="623"/>
      <c r="E19" s="623">
        <v>8</v>
      </c>
      <c r="F19" s="623"/>
      <c r="G19" s="623"/>
      <c r="H19" s="623"/>
      <c r="I19" s="623"/>
      <c r="J19" s="623"/>
      <c r="K19" s="624">
        <f>E19*1.5*0.365*0.25</f>
        <v>1.095</v>
      </c>
      <c r="L19" s="624"/>
      <c r="M19" s="624"/>
      <c r="N19" s="624"/>
      <c r="O19" s="624"/>
      <c r="P19" s="624"/>
      <c r="Q19" s="625">
        <f>E19*1.5</f>
        <v>12</v>
      </c>
      <c r="R19" s="625"/>
      <c r="S19" s="625"/>
      <c r="T19" s="625"/>
      <c r="U19" s="625"/>
      <c r="V19" s="625"/>
      <c r="W19" s="625">
        <v>138.24</v>
      </c>
      <c r="X19" s="625"/>
      <c r="Y19" s="625"/>
      <c r="Z19" s="625"/>
      <c r="AA19" s="625"/>
      <c r="AB19" s="625"/>
      <c r="AC19" s="631">
        <f t="shared" si="0"/>
        <v>1125.92</v>
      </c>
      <c r="AD19" s="631"/>
      <c r="AE19" s="631"/>
      <c r="AF19" s="631"/>
      <c r="AG19" s="631"/>
      <c r="AH19" s="631"/>
      <c r="AI19" s="631"/>
      <c r="AJ19" s="625">
        <v>7.306</v>
      </c>
      <c r="AK19" s="625"/>
      <c r="AL19" s="625"/>
      <c r="AM19" s="625"/>
      <c r="AN19" s="625"/>
      <c r="AO19" s="625"/>
      <c r="AP19" s="625"/>
      <c r="AQ19" s="625"/>
    </row>
    <row r="20" spans="1:43" ht="12.75" customHeight="1" x14ac:dyDescent="0.2">
      <c r="A20" s="628"/>
      <c r="B20" s="628"/>
      <c r="C20" s="623" t="s">
        <v>185</v>
      </c>
      <c r="D20" s="623"/>
      <c r="E20" s="623">
        <v>8</v>
      </c>
      <c r="F20" s="623"/>
      <c r="G20" s="623"/>
      <c r="H20" s="623"/>
      <c r="I20" s="623"/>
      <c r="J20" s="623"/>
      <c r="K20" s="624">
        <f>E20*2*0.365*0.25</f>
        <v>1.46</v>
      </c>
      <c r="L20" s="624"/>
      <c r="M20" s="624"/>
      <c r="N20" s="624"/>
      <c r="O20" s="624"/>
      <c r="P20" s="624"/>
      <c r="Q20" s="625">
        <f>E20*2</f>
        <v>16</v>
      </c>
      <c r="R20" s="625"/>
      <c r="S20" s="625"/>
      <c r="T20" s="625"/>
      <c r="U20" s="625"/>
      <c r="V20" s="625"/>
      <c r="W20" s="625">
        <v>184.33</v>
      </c>
      <c r="X20" s="625"/>
      <c r="Y20" s="625"/>
      <c r="Z20" s="625"/>
      <c r="AA20" s="625"/>
      <c r="AB20" s="625"/>
      <c r="AC20" s="631">
        <f t="shared" si="0"/>
        <v>1494.64</v>
      </c>
      <c r="AD20" s="631"/>
      <c r="AE20" s="631"/>
      <c r="AF20" s="631"/>
      <c r="AG20" s="631"/>
      <c r="AH20" s="631"/>
      <c r="AI20" s="631"/>
      <c r="AJ20" s="625">
        <v>5.4790000000000001</v>
      </c>
      <c r="AK20" s="625"/>
      <c r="AL20" s="625"/>
      <c r="AM20" s="625"/>
      <c r="AN20" s="625"/>
      <c r="AO20" s="625"/>
      <c r="AP20" s="625"/>
      <c r="AQ20" s="625"/>
    </row>
    <row r="21" spans="1:43" ht="12.75" customHeight="1" x14ac:dyDescent="0.2">
      <c r="A21" s="338"/>
      <c r="B21" s="338"/>
      <c r="C21" s="164"/>
      <c r="D21" s="164"/>
      <c r="E21" s="164"/>
      <c r="F21" s="164"/>
      <c r="G21" s="164"/>
      <c r="H21" s="164"/>
      <c r="I21" s="164"/>
      <c r="J21" s="164"/>
      <c r="K21" s="373"/>
      <c r="L21" s="373"/>
      <c r="M21" s="373"/>
      <c r="N21" s="373"/>
      <c r="O21" s="373"/>
      <c r="P21" s="373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6"/>
      <c r="AD21" s="376"/>
      <c r="AE21" s="376"/>
      <c r="AF21" s="376"/>
      <c r="AG21" s="376"/>
      <c r="AH21" s="376"/>
      <c r="AI21" s="376"/>
      <c r="AJ21" s="372"/>
      <c r="AK21" s="372"/>
      <c r="AL21" s="372"/>
      <c r="AM21" s="372"/>
      <c r="AN21" s="372"/>
      <c r="AO21" s="372"/>
      <c r="AP21" s="372"/>
      <c r="AQ21" s="372"/>
    </row>
    <row r="22" spans="1:43" x14ac:dyDescent="0.2">
      <c r="A22" s="635" t="s">
        <v>237</v>
      </c>
      <c r="B22" s="635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5"/>
      <c r="AG22" s="635"/>
      <c r="AH22" s="635"/>
      <c r="AI22" s="635"/>
      <c r="AJ22" s="635"/>
      <c r="AK22" s="635"/>
      <c r="AL22" s="635"/>
      <c r="AM22" s="635"/>
      <c r="AN22" s="635"/>
      <c r="AO22" s="635"/>
      <c r="AP22" s="635"/>
      <c r="AQ22" s="635"/>
    </row>
    <row r="23" spans="1:43" x14ac:dyDescent="0.2">
      <c r="A23" s="377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</row>
    <row r="24" spans="1:43" ht="12.75" customHeight="1" x14ac:dyDescent="0.2">
      <c r="A24" s="630" t="s">
        <v>235</v>
      </c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630"/>
      <c r="AM24" s="630"/>
      <c r="AN24" s="630"/>
      <c r="AO24" s="630"/>
      <c r="AP24" s="630"/>
      <c r="AQ24" s="630"/>
    </row>
    <row r="25" spans="1:43" ht="12.75" customHeight="1" x14ac:dyDescent="0.2">
      <c r="A25" s="356" t="s">
        <v>133</v>
      </c>
      <c r="B25" s="628" t="s">
        <v>132</v>
      </c>
      <c r="C25" s="629" t="s">
        <v>130</v>
      </c>
      <c r="D25" s="629"/>
      <c r="E25" s="623">
        <v>40</v>
      </c>
      <c r="F25" s="623"/>
      <c r="G25" s="623"/>
      <c r="H25" s="623"/>
      <c r="I25" s="623"/>
      <c r="J25" s="623"/>
      <c r="K25" s="624">
        <f>E25*0.625*0.175*0.25</f>
        <v>1.09375</v>
      </c>
      <c r="L25" s="624"/>
      <c r="M25" s="624"/>
      <c r="N25" s="624"/>
      <c r="O25" s="624"/>
      <c r="P25" s="624"/>
      <c r="Q25" s="625">
        <f t="shared" ref="Q25:Q30" si="1">E25*0.625</f>
        <v>25</v>
      </c>
      <c r="R25" s="625"/>
      <c r="S25" s="625"/>
      <c r="T25" s="625"/>
      <c r="U25" s="625"/>
      <c r="V25" s="625"/>
      <c r="W25" s="626">
        <v>11.88</v>
      </c>
      <c r="X25" s="626"/>
      <c r="Y25" s="626"/>
      <c r="Z25" s="626"/>
      <c r="AA25" s="626"/>
      <c r="AB25" s="626"/>
      <c r="AC25" s="627">
        <f t="shared" ref="AC25:AC37" si="2">E25*W25+20</f>
        <v>495.20000000000005</v>
      </c>
      <c r="AD25" s="627"/>
      <c r="AE25" s="627"/>
      <c r="AF25" s="627"/>
      <c r="AG25" s="627"/>
      <c r="AH25" s="627"/>
      <c r="AI25" s="627"/>
      <c r="AJ25" s="625">
        <v>36.57</v>
      </c>
      <c r="AK25" s="625"/>
      <c r="AL25" s="625"/>
      <c r="AM25" s="625"/>
      <c r="AN25" s="625"/>
      <c r="AO25" s="625"/>
      <c r="AP25" s="625"/>
      <c r="AQ25" s="625"/>
    </row>
    <row r="26" spans="1:43" ht="12.75" customHeight="1" x14ac:dyDescent="0.2">
      <c r="A26" s="356" t="s">
        <v>134</v>
      </c>
      <c r="B26" s="628"/>
      <c r="C26" s="629"/>
      <c r="D26" s="629"/>
      <c r="E26" s="623">
        <v>35</v>
      </c>
      <c r="F26" s="623"/>
      <c r="G26" s="623"/>
      <c r="H26" s="623"/>
      <c r="I26" s="623"/>
      <c r="J26" s="623"/>
      <c r="K26" s="624">
        <f>E26*0.625*0.2*0.25</f>
        <v>1.09375</v>
      </c>
      <c r="L26" s="624"/>
      <c r="M26" s="624"/>
      <c r="N26" s="624"/>
      <c r="O26" s="624"/>
      <c r="P26" s="624"/>
      <c r="Q26" s="625">
        <f t="shared" si="1"/>
        <v>21.875</v>
      </c>
      <c r="R26" s="625"/>
      <c r="S26" s="625"/>
      <c r="T26" s="625"/>
      <c r="U26" s="625"/>
      <c r="V26" s="625"/>
      <c r="W26" s="626">
        <v>12.5</v>
      </c>
      <c r="X26" s="626"/>
      <c r="Y26" s="626"/>
      <c r="Z26" s="626"/>
      <c r="AA26" s="626"/>
      <c r="AB26" s="626"/>
      <c r="AC26" s="627">
        <f t="shared" si="2"/>
        <v>457.5</v>
      </c>
      <c r="AD26" s="627"/>
      <c r="AE26" s="627"/>
      <c r="AF26" s="627"/>
      <c r="AG26" s="627"/>
      <c r="AH26" s="627"/>
      <c r="AI26" s="627"/>
      <c r="AJ26" s="625">
        <v>32</v>
      </c>
      <c r="AK26" s="625"/>
      <c r="AL26" s="625"/>
      <c r="AM26" s="625"/>
      <c r="AN26" s="625"/>
      <c r="AO26" s="625"/>
      <c r="AP26" s="625"/>
      <c r="AQ26" s="625"/>
    </row>
    <row r="27" spans="1:43" ht="12.75" customHeight="1" x14ac:dyDescent="0.2">
      <c r="A27" s="356" t="s">
        <v>135</v>
      </c>
      <c r="B27" s="628"/>
      <c r="C27" s="629"/>
      <c r="D27" s="629"/>
      <c r="E27" s="623">
        <v>30</v>
      </c>
      <c r="F27" s="623"/>
      <c r="G27" s="623"/>
      <c r="H27" s="623"/>
      <c r="I27" s="623"/>
      <c r="J27" s="623"/>
      <c r="K27" s="624">
        <f>E27*0.625*0.24*0.25</f>
        <v>1.125</v>
      </c>
      <c r="L27" s="624"/>
      <c r="M27" s="624"/>
      <c r="N27" s="624"/>
      <c r="O27" s="624"/>
      <c r="P27" s="624"/>
      <c r="Q27" s="625">
        <f t="shared" si="1"/>
        <v>18.75</v>
      </c>
      <c r="R27" s="625"/>
      <c r="S27" s="625"/>
      <c r="T27" s="625"/>
      <c r="U27" s="625"/>
      <c r="V27" s="625"/>
      <c r="W27" s="626">
        <v>15</v>
      </c>
      <c r="X27" s="626"/>
      <c r="Y27" s="626"/>
      <c r="Z27" s="626"/>
      <c r="AA27" s="626"/>
      <c r="AB27" s="626"/>
      <c r="AC27" s="627">
        <f t="shared" si="2"/>
        <v>470</v>
      </c>
      <c r="AD27" s="627"/>
      <c r="AE27" s="627"/>
      <c r="AF27" s="627"/>
      <c r="AG27" s="627"/>
      <c r="AH27" s="627"/>
      <c r="AI27" s="627"/>
      <c r="AJ27" s="625">
        <v>26.67</v>
      </c>
      <c r="AK27" s="625"/>
      <c r="AL27" s="625"/>
      <c r="AM27" s="625"/>
      <c r="AN27" s="625"/>
      <c r="AO27" s="625"/>
      <c r="AP27" s="625"/>
      <c r="AQ27" s="625"/>
    </row>
    <row r="28" spans="1:43" ht="12.75" customHeight="1" x14ac:dyDescent="0.2">
      <c r="A28" s="356" t="s">
        <v>136</v>
      </c>
      <c r="B28" s="628"/>
      <c r="C28" s="629"/>
      <c r="D28" s="629"/>
      <c r="E28" s="623">
        <v>20</v>
      </c>
      <c r="F28" s="623"/>
      <c r="G28" s="623"/>
      <c r="H28" s="623"/>
      <c r="I28" s="623"/>
      <c r="J28" s="623"/>
      <c r="K28" s="624">
        <f>E28*0.625*0.3*0.25</f>
        <v>0.9375</v>
      </c>
      <c r="L28" s="624"/>
      <c r="M28" s="624"/>
      <c r="N28" s="624"/>
      <c r="O28" s="624"/>
      <c r="P28" s="624"/>
      <c r="Q28" s="625">
        <f t="shared" si="1"/>
        <v>12.5</v>
      </c>
      <c r="R28" s="625"/>
      <c r="S28" s="625"/>
      <c r="T28" s="625"/>
      <c r="U28" s="625"/>
      <c r="V28" s="625"/>
      <c r="W28" s="626">
        <v>20</v>
      </c>
      <c r="X28" s="626"/>
      <c r="Y28" s="626"/>
      <c r="Z28" s="626"/>
      <c r="AA28" s="626"/>
      <c r="AB28" s="626"/>
      <c r="AC28" s="627">
        <f t="shared" si="2"/>
        <v>420</v>
      </c>
      <c r="AD28" s="627"/>
      <c r="AE28" s="627"/>
      <c r="AF28" s="627"/>
      <c r="AG28" s="627"/>
      <c r="AH28" s="627"/>
      <c r="AI28" s="627"/>
      <c r="AJ28" s="625">
        <v>21.332999999999998</v>
      </c>
      <c r="AK28" s="625"/>
      <c r="AL28" s="625"/>
      <c r="AM28" s="625"/>
      <c r="AN28" s="625"/>
      <c r="AO28" s="625"/>
      <c r="AP28" s="625"/>
      <c r="AQ28" s="625"/>
    </row>
    <row r="29" spans="1:43" ht="12.75" customHeight="1" x14ac:dyDescent="0.2">
      <c r="A29" s="356" t="s">
        <v>137</v>
      </c>
      <c r="B29" s="628"/>
      <c r="C29" s="629"/>
      <c r="D29" s="629"/>
      <c r="E29" s="623">
        <v>16</v>
      </c>
      <c r="F29" s="623"/>
      <c r="G29" s="623"/>
      <c r="H29" s="623"/>
      <c r="I29" s="623"/>
      <c r="J29" s="623"/>
      <c r="K29" s="624">
        <f>E29*0.625*0.365*0.25</f>
        <v>0.91249999999999998</v>
      </c>
      <c r="L29" s="624"/>
      <c r="M29" s="624"/>
      <c r="N29" s="624"/>
      <c r="O29" s="624"/>
      <c r="P29" s="624"/>
      <c r="Q29" s="625">
        <f t="shared" si="1"/>
        <v>10</v>
      </c>
      <c r="R29" s="625"/>
      <c r="S29" s="625"/>
      <c r="T29" s="625"/>
      <c r="U29" s="625"/>
      <c r="V29" s="625"/>
      <c r="W29" s="626">
        <v>25</v>
      </c>
      <c r="X29" s="626"/>
      <c r="Y29" s="626"/>
      <c r="Z29" s="626"/>
      <c r="AA29" s="626"/>
      <c r="AB29" s="626"/>
      <c r="AC29" s="627">
        <f t="shared" si="2"/>
        <v>420</v>
      </c>
      <c r="AD29" s="627"/>
      <c r="AE29" s="627"/>
      <c r="AF29" s="627"/>
      <c r="AG29" s="627"/>
      <c r="AH29" s="627"/>
      <c r="AI29" s="627"/>
      <c r="AJ29" s="625">
        <v>17.53</v>
      </c>
      <c r="AK29" s="625"/>
      <c r="AL29" s="625"/>
      <c r="AM29" s="625"/>
      <c r="AN29" s="625"/>
      <c r="AO29" s="625"/>
      <c r="AP29" s="625"/>
      <c r="AQ29" s="625"/>
    </row>
    <row r="30" spans="1:43" ht="12.75" customHeight="1" x14ac:dyDescent="0.2">
      <c r="A30" s="356" t="s">
        <v>178</v>
      </c>
      <c r="B30" s="628"/>
      <c r="C30" s="629"/>
      <c r="D30" s="629"/>
      <c r="E30" s="623">
        <v>16</v>
      </c>
      <c r="F30" s="623"/>
      <c r="G30" s="623"/>
      <c r="H30" s="623"/>
      <c r="I30" s="623"/>
      <c r="J30" s="623"/>
      <c r="K30" s="624">
        <f>E30*0.625*0.365*0.25</f>
        <v>0.91249999999999998</v>
      </c>
      <c r="L30" s="624"/>
      <c r="M30" s="624"/>
      <c r="N30" s="624"/>
      <c r="O30" s="624"/>
      <c r="P30" s="624"/>
      <c r="Q30" s="625">
        <f t="shared" si="1"/>
        <v>10</v>
      </c>
      <c r="R30" s="625"/>
      <c r="S30" s="625"/>
      <c r="T30" s="625"/>
      <c r="U30" s="625"/>
      <c r="V30" s="625"/>
      <c r="W30" s="626"/>
      <c r="X30" s="626"/>
      <c r="Y30" s="626"/>
      <c r="Z30" s="626"/>
      <c r="AA30" s="626"/>
      <c r="AB30" s="626"/>
      <c r="AC30" s="627"/>
      <c r="AD30" s="627"/>
      <c r="AE30" s="627"/>
      <c r="AF30" s="627"/>
      <c r="AG30" s="627"/>
      <c r="AH30" s="627"/>
      <c r="AI30" s="627"/>
      <c r="AJ30" s="625"/>
      <c r="AK30" s="625"/>
      <c r="AL30" s="625"/>
      <c r="AM30" s="625"/>
      <c r="AN30" s="625"/>
      <c r="AO30" s="625"/>
      <c r="AP30" s="625"/>
      <c r="AQ30" s="625"/>
    </row>
    <row r="31" spans="1:43" ht="12.75" customHeight="1" x14ac:dyDescent="0.2">
      <c r="A31" s="356" t="s">
        <v>228</v>
      </c>
      <c r="B31" s="628"/>
      <c r="C31" s="629"/>
      <c r="D31" s="629"/>
      <c r="E31" s="620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621"/>
      <c r="AI31" s="621"/>
      <c r="AJ31" s="621"/>
      <c r="AK31" s="621"/>
      <c r="AL31" s="621"/>
      <c r="AM31" s="621"/>
      <c r="AN31" s="621"/>
      <c r="AO31" s="621"/>
      <c r="AP31" s="621"/>
      <c r="AQ31" s="622"/>
    </row>
    <row r="32" spans="1:43" ht="12.75" customHeight="1" x14ac:dyDescent="0.2">
      <c r="A32" s="338"/>
      <c r="B32" s="338"/>
      <c r="C32" s="342"/>
      <c r="D32" s="342"/>
      <c r="E32" s="164"/>
      <c r="F32" s="164"/>
      <c r="G32" s="164"/>
      <c r="H32" s="164"/>
      <c r="I32" s="164"/>
      <c r="J32" s="164"/>
      <c r="K32" s="373"/>
      <c r="L32" s="373"/>
      <c r="M32" s="373"/>
      <c r="N32" s="373"/>
      <c r="O32" s="373"/>
      <c r="P32" s="373"/>
      <c r="Q32" s="372"/>
      <c r="R32" s="372"/>
      <c r="S32" s="372"/>
      <c r="T32" s="372"/>
      <c r="U32" s="372"/>
      <c r="V32" s="372"/>
      <c r="W32" s="371"/>
      <c r="X32" s="371"/>
      <c r="Y32" s="371"/>
      <c r="Z32" s="371"/>
      <c r="AA32" s="371"/>
      <c r="AB32" s="371"/>
      <c r="AC32" s="375"/>
      <c r="AD32" s="375"/>
      <c r="AE32" s="375"/>
      <c r="AF32" s="375"/>
      <c r="AG32" s="375"/>
      <c r="AH32" s="375"/>
      <c r="AI32" s="375"/>
      <c r="AJ32" s="372"/>
      <c r="AK32" s="372"/>
      <c r="AL32" s="372"/>
      <c r="AM32" s="372"/>
      <c r="AN32" s="372"/>
      <c r="AO32" s="372"/>
      <c r="AP32" s="372"/>
      <c r="AQ32" s="372"/>
    </row>
    <row r="33" spans="1:43" ht="12.75" customHeight="1" x14ac:dyDescent="0.2">
      <c r="A33" s="617" t="s">
        <v>236</v>
      </c>
      <c r="B33" s="618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8"/>
      <c r="X33" s="618"/>
      <c r="Y33" s="618"/>
      <c r="Z33" s="618"/>
      <c r="AA33" s="618"/>
      <c r="AB33" s="618"/>
      <c r="AC33" s="618"/>
      <c r="AD33" s="618"/>
      <c r="AE33" s="618"/>
      <c r="AF33" s="618"/>
      <c r="AG33" s="618"/>
      <c r="AH33" s="618"/>
      <c r="AI33" s="618"/>
      <c r="AJ33" s="618"/>
      <c r="AK33" s="618"/>
      <c r="AL33" s="618"/>
      <c r="AM33" s="618"/>
      <c r="AN33" s="618"/>
      <c r="AO33" s="618"/>
      <c r="AP33" s="618"/>
      <c r="AQ33" s="619"/>
    </row>
    <row r="34" spans="1:43" ht="12.75" customHeight="1" x14ac:dyDescent="0.2">
      <c r="A34" s="356" t="s">
        <v>135</v>
      </c>
      <c r="B34" s="628" t="s">
        <v>135</v>
      </c>
      <c r="C34" s="629" t="s">
        <v>164</v>
      </c>
      <c r="D34" s="629"/>
      <c r="E34" s="623">
        <v>24</v>
      </c>
      <c r="F34" s="623"/>
      <c r="G34" s="623"/>
      <c r="H34" s="623"/>
      <c r="I34" s="623"/>
      <c r="J34" s="623"/>
      <c r="K34" s="624">
        <f>E34*0.59*0.24*0.24</f>
        <v>0.81561600000000001</v>
      </c>
      <c r="L34" s="624"/>
      <c r="M34" s="624"/>
      <c r="N34" s="624"/>
      <c r="O34" s="624"/>
      <c r="P34" s="624"/>
      <c r="Q34" s="625">
        <f>E34*0.59</f>
        <v>14.16</v>
      </c>
      <c r="R34" s="625"/>
      <c r="S34" s="625"/>
      <c r="T34" s="625"/>
      <c r="U34" s="625"/>
      <c r="V34" s="625"/>
      <c r="W34" s="626">
        <v>15.13</v>
      </c>
      <c r="X34" s="626"/>
      <c r="Y34" s="626"/>
      <c r="Z34" s="626"/>
      <c r="AA34" s="626"/>
      <c r="AB34" s="626"/>
      <c r="AC34" s="627">
        <f t="shared" si="2"/>
        <v>383.12</v>
      </c>
      <c r="AD34" s="627"/>
      <c r="AE34" s="627"/>
      <c r="AF34" s="627"/>
      <c r="AG34" s="627"/>
      <c r="AH34" s="627"/>
      <c r="AI34" s="627"/>
      <c r="AJ34" s="625">
        <v>29.43</v>
      </c>
      <c r="AK34" s="625"/>
      <c r="AL34" s="625"/>
      <c r="AM34" s="625"/>
      <c r="AN34" s="625"/>
      <c r="AO34" s="625"/>
      <c r="AP34" s="625"/>
      <c r="AQ34" s="625"/>
    </row>
    <row r="35" spans="1:43" ht="12.75" customHeight="1" x14ac:dyDescent="0.2">
      <c r="A35" s="356" t="s">
        <v>136</v>
      </c>
      <c r="B35" s="628"/>
      <c r="C35" s="629"/>
      <c r="D35" s="629"/>
      <c r="E35" s="623">
        <v>18</v>
      </c>
      <c r="F35" s="623"/>
      <c r="G35" s="623"/>
      <c r="H35" s="623"/>
      <c r="I35" s="623"/>
      <c r="J35" s="623"/>
      <c r="K35" s="624">
        <f>E35*0.59*0.3*0.24</f>
        <v>0.76463999999999988</v>
      </c>
      <c r="L35" s="624"/>
      <c r="M35" s="624"/>
      <c r="N35" s="624"/>
      <c r="O35" s="624"/>
      <c r="P35" s="624"/>
      <c r="Q35" s="625">
        <f>E35*0.59</f>
        <v>10.62</v>
      </c>
      <c r="R35" s="625"/>
      <c r="S35" s="625"/>
      <c r="T35" s="625"/>
      <c r="U35" s="625"/>
      <c r="V35" s="625"/>
      <c r="W35" s="626">
        <v>16.79</v>
      </c>
      <c r="X35" s="626"/>
      <c r="Y35" s="626"/>
      <c r="Z35" s="626"/>
      <c r="AA35" s="626"/>
      <c r="AB35" s="626"/>
      <c r="AC35" s="627">
        <f t="shared" si="2"/>
        <v>322.21999999999997</v>
      </c>
      <c r="AD35" s="627"/>
      <c r="AE35" s="627"/>
      <c r="AF35" s="627"/>
      <c r="AG35" s="627"/>
      <c r="AH35" s="627"/>
      <c r="AI35" s="627"/>
      <c r="AJ35" s="625">
        <v>23.54</v>
      </c>
      <c r="AK35" s="625"/>
      <c r="AL35" s="625"/>
      <c r="AM35" s="625"/>
      <c r="AN35" s="625"/>
      <c r="AO35" s="625"/>
      <c r="AP35" s="625"/>
      <c r="AQ35" s="625"/>
    </row>
    <row r="36" spans="1:43" ht="12.75" customHeight="1" x14ac:dyDescent="0.2">
      <c r="A36" s="355" t="s">
        <v>177</v>
      </c>
      <c r="B36" s="628"/>
      <c r="C36" s="629"/>
      <c r="D36" s="629"/>
      <c r="E36" s="623">
        <v>16</v>
      </c>
      <c r="F36" s="623"/>
      <c r="G36" s="623"/>
      <c r="H36" s="623"/>
      <c r="I36" s="623"/>
      <c r="J36" s="623"/>
      <c r="K36" s="624">
        <f>E36*0.59*0.36*0.24</f>
        <v>0.8156159999999999</v>
      </c>
      <c r="L36" s="624"/>
      <c r="M36" s="624"/>
      <c r="N36" s="624"/>
      <c r="O36" s="624"/>
      <c r="P36" s="624"/>
      <c r="Q36" s="625">
        <f>E36*0.59</f>
        <v>9.44</v>
      </c>
      <c r="R36" s="625"/>
      <c r="S36" s="625"/>
      <c r="T36" s="625"/>
      <c r="U36" s="625"/>
      <c r="V36" s="625"/>
      <c r="W36" s="626">
        <v>18.36</v>
      </c>
      <c r="X36" s="626"/>
      <c r="Y36" s="626"/>
      <c r="Z36" s="626"/>
      <c r="AA36" s="626"/>
      <c r="AB36" s="626"/>
      <c r="AC36" s="627">
        <f t="shared" si="2"/>
        <v>313.76</v>
      </c>
      <c r="AD36" s="627"/>
      <c r="AE36" s="627"/>
      <c r="AF36" s="627"/>
      <c r="AG36" s="627"/>
      <c r="AH36" s="627"/>
      <c r="AI36" s="627"/>
      <c r="AJ36" s="625">
        <v>19.62</v>
      </c>
      <c r="AK36" s="625"/>
      <c r="AL36" s="625"/>
      <c r="AM36" s="625"/>
      <c r="AN36" s="625"/>
      <c r="AO36" s="625"/>
      <c r="AP36" s="625"/>
      <c r="AQ36" s="625"/>
    </row>
    <row r="37" spans="1:43" ht="12.75" customHeight="1" x14ac:dyDescent="0.2">
      <c r="A37" s="355" t="s">
        <v>178</v>
      </c>
      <c r="B37" s="628"/>
      <c r="C37" s="629"/>
      <c r="D37" s="629"/>
      <c r="E37" s="623">
        <v>16</v>
      </c>
      <c r="F37" s="623"/>
      <c r="G37" s="623"/>
      <c r="H37" s="623"/>
      <c r="I37" s="623"/>
      <c r="J37" s="623"/>
      <c r="K37" s="624">
        <f>E37*0.59*0.42*0.24</f>
        <v>0.95155199999999984</v>
      </c>
      <c r="L37" s="624"/>
      <c r="M37" s="624"/>
      <c r="N37" s="624"/>
      <c r="O37" s="624"/>
      <c r="P37" s="624"/>
      <c r="Q37" s="625">
        <f>E37*0.59</f>
        <v>9.44</v>
      </c>
      <c r="R37" s="625"/>
      <c r="S37" s="625"/>
      <c r="T37" s="625"/>
      <c r="U37" s="625"/>
      <c r="V37" s="625"/>
      <c r="W37" s="626">
        <v>19.93</v>
      </c>
      <c r="X37" s="626"/>
      <c r="Y37" s="626"/>
      <c r="Z37" s="626"/>
      <c r="AA37" s="626"/>
      <c r="AB37" s="626"/>
      <c r="AC37" s="627">
        <f t="shared" si="2"/>
        <v>338.88</v>
      </c>
      <c r="AD37" s="627"/>
      <c r="AE37" s="627"/>
      <c r="AF37" s="627"/>
      <c r="AG37" s="627"/>
      <c r="AH37" s="627"/>
      <c r="AI37" s="627"/>
      <c r="AJ37" s="625">
        <v>16.809999999999999</v>
      </c>
      <c r="AK37" s="625"/>
      <c r="AL37" s="625"/>
      <c r="AM37" s="625"/>
      <c r="AN37" s="625"/>
      <c r="AO37" s="625"/>
      <c r="AP37" s="625"/>
      <c r="AQ37" s="625"/>
    </row>
    <row r="38" spans="1:43" ht="9.75" customHeight="1" x14ac:dyDescent="0.2">
      <c r="A38" s="378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</row>
    <row r="39" spans="1:43" ht="9.75" customHeight="1" x14ac:dyDescent="0.2">
      <c r="A39" s="374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</row>
    <row r="40" spans="1:43" ht="11.25" customHeight="1" x14ac:dyDescent="0.2">
      <c r="A40" s="617" t="s">
        <v>239</v>
      </c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8"/>
      <c r="AD40" s="618"/>
      <c r="AE40" s="618"/>
      <c r="AF40" s="618"/>
      <c r="AG40" s="618"/>
      <c r="AH40" s="618"/>
      <c r="AI40" s="618"/>
      <c r="AJ40" s="618"/>
      <c r="AK40" s="618"/>
      <c r="AL40" s="618"/>
      <c r="AM40" s="618"/>
      <c r="AN40" s="618"/>
      <c r="AO40" s="618"/>
      <c r="AP40" s="618"/>
      <c r="AQ40" s="619"/>
    </row>
    <row r="41" spans="1:43" x14ac:dyDescent="0.2">
      <c r="A41" s="356" t="s">
        <v>135</v>
      </c>
      <c r="B41" s="628" t="s">
        <v>135</v>
      </c>
      <c r="C41" s="629" t="s">
        <v>164</v>
      </c>
      <c r="D41" s="629"/>
      <c r="E41" s="623">
        <v>35</v>
      </c>
      <c r="F41" s="623"/>
      <c r="G41" s="623"/>
      <c r="H41" s="623"/>
      <c r="I41" s="623"/>
      <c r="J41" s="623"/>
      <c r="K41" s="624">
        <f>E41*0.59*0.24*0.24</f>
        <v>1.1894399999999998</v>
      </c>
      <c r="L41" s="624"/>
      <c r="M41" s="624"/>
      <c r="N41" s="624"/>
      <c r="O41" s="624"/>
      <c r="P41" s="624"/>
      <c r="Q41" s="625">
        <f>E41*0.59</f>
        <v>20.65</v>
      </c>
      <c r="R41" s="625"/>
      <c r="S41" s="625"/>
      <c r="T41" s="625"/>
      <c r="U41" s="625"/>
      <c r="V41" s="625"/>
      <c r="W41" s="626">
        <v>15.13</v>
      </c>
      <c r="X41" s="626"/>
      <c r="Y41" s="626"/>
      <c r="Z41" s="626"/>
      <c r="AA41" s="626"/>
      <c r="AB41" s="626"/>
      <c r="AC41" s="627">
        <f t="shared" ref="AC41:AC43" si="3">E41*W41+20</f>
        <v>549.55000000000007</v>
      </c>
      <c r="AD41" s="627"/>
      <c r="AE41" s="627"/>
      <c r="AF41" s="627"/>
      <c r="AG41" s="627"/>
      <c r="AH41" s="627"/>
      <c r="AI41" s="627"/>
      <c r="AJ41" s="625">
        <v>29.43</v>
      </c>
      <c r="AK41" s="625"/>
      <c r="AL41" s="625"/>
      <c r="AM41" s="625"/>
      <c r="AN41" s="625"/>
      <c r="AO41" s="625"/>
      <c r="AP41" s="625"/>
      <c r="AQ41" s="625"/>
    </row>
    <row r="42" spans="1:43" x14ac:dyDescent="0.2">
      <c r="A42" s="356" t="s">
        <v>136</v>
      </c>
      <c r="B42" s="628"/>
      <c r="C42" s="629"/>
      <c r="D42" s="629"/>
      <c r="E42" s="623">
        <v>30</v>
      </c>
      <c r="F42" s="623"/>
      <c r="G42" s="623"/>
      <c r="H42" s="623"/>
      <c r="I42" s="623"/>
      <c r="J42" s="623"/>
      <c r="K42" s="624">
        <f>E42*0.59*0.3*0.24</f>
        <v>1.2743999999999998</v>
      </c>
      <c r="L42" s="624"/>
      <c r="M42" s="624"/>
      <c r="N42" s="624"/>
      <c r="O42" s="624"/>
      <c r="P42" s="624"/>
      <c r="Q42" s="625">
        <f>E42*0.59</f>
        <v>17.7</v>
      </c>
      <c r="R42" s="625"/>
      <c r="S42" s="625"/>
      <c r="T42" s="625"/>
      <c r="U42" s="625"/>
      <c r="V42" s="625"/>
      <c r="W42" s="626">
        <v>16.79</v>
      </c>
      <c r="X42" s="626"/>
      <c r="Y42" s="626"/>
      <c r="Z42" s="626"/>
      <c r="AA42" s="626"/>
      <c r="AB42" s="626"/>
      <c r="AC42" s="627">
        <f t="shared" si="3"/>
        <v>523.70000000000005</v>
      </c>
      <c r="AD42" s="627"/>
      <c r="AE42" s="627"/>
      <c r="AF42" s="627"/>
      <c r="AG42" s="627"/>
      <c r="AH42" s="627"/>
      <c r="AI42" s="627"/>
      <c r="AJ42" s="625">
        <v>23.54</v>
      </c>
      <c r="AK42" s="625"/>
      <c r="AL42" s="625"/>
      <c r="AM42" s="625"/>
      <c r="AN42" s="625"/>
      <c r="AO42" s="625"/>
      <c r="AP42" s="625"/>
      <c r="AQ42" s="625"/>
    </row>
    <row r="43" spans="1:43" x14ac:dyDescent="0.2">
      <c r="A43" s="355" t="s">
        <v>177</v>
      </c>
      <c r="B43" s="628"/>
      <c r="C43" s="629"/>
      <c r="D43" s="629"/>
      <c r="E43" s="623">
        <v>25</v>
      </c>
      <c r="F43" s="623"/>
      <c r="G43" s="623"/>
      <c r="H43" s="623"/>
      <c r="I43" s="623"/>
      <c r="J43" s="623"/>
      <c r="K43" s="624">
        <f>E43*0.59*0.36*0.24</f>
        <v>1.2743999999999998</v>
      </c>
      <c r="L43" s="624"/>
      <c r="M43" s="624"/>
      <c r="N43" s="624"/>
      <c r="O43" s="624"/>
      <c r="P43" s="624"/>
      <c r="Q43" s="625">
        <f>E43*0.59</f>
        <v>14.75</v>
      </c>
      <c r="R43" s="625"/>
      <c r="S43" s="625"/>
      <c r="T43" s="625"/>
      <c r="U43" s="625"/>
      <c r="V43" s="625"/>
      <c r="W43" s="626">
        <v>18.36</v>
      </c>
      <c r="X43" s="626"/>
      <c r="Y43" s="626"/>
      <c r="Z43" s="626"/>
      <c r="AA43" s="626"/>
      <c r="AB43" s="626"/>
      <c r="AC43" s="627">
        <f t="shared" si="3"/>
        <v>479</v>
      </c>
      <c r="AD43" s="627"/>
      <c r="AE43" s="627"/>
      <c r="AF43" s="627"/>
      <c r="AG43" s="627"/>
      <c r="AH43" s="627"/>
      <c r="AI43" s="627"/>
      <c r="AJ43" s="625">
        <v>19.62</v>
      </c>
      <c r="AK43" s="625"/>
      <c r="AL43" s="625"/>
      <c r="AM43" s="625"/>
      <c r="AN43" s="625"/>
      <c r="AO43" s="625"/>
      <c r="AP43" s="625"/>
      <c r="AQ43" s="625"/>
    </row>
  </sheetData>
  <mergeCells count="201">
    <mergeCell ref="B41:B43"/>
    <mergeCell ref="C41:D43"/>
    <mergeCell ref="E41:J41"/>
    <mergeCell ref="K41:P41"/>
    <mergeCell ref="Q41:V41"/>
    <mergeCell ref="W41:AB41"/>
    <mergeCell ref="AC41:AI41"/>
    <mergeCell ref="AJ41:AQ41"/>
    <mergeCell ref="E42:J42"/>
    <mergeCell ref="K42:P42"/>
    <mergeCell ref="Q42:V42"/>
    <mergeCell ref="W42:AB42"/>
    <mergeCell ref="AC42:AI42"/>
    <mergeCell ref="AJ42:AQ42"/>
    <mergeCell ref="E43:J43"/>
    <mergeCell ref="K43:P43"/>
    <mergeCell ref="Q43:V43"/>
    <mergeCell ref="W43:AB43"/>
    <mergeCell ref="AC43:AI43"/>
    <mergeCell ref="AJ43:AQ43"/>
    <mergeCell ref="E30:J30"/>
    <mergeCell ref="K30:P30"/>
    <mergeCell ref="C6:D6"/>
    <mergeCell ref="E6:J6"/>
    <mergeCell ref="K6:P6"/>
    <mergeCell ref="C8:D8"/>
    <mergeCell ref="E8:J8"/>
    <mergeCell ref="K8:P8"/>
    <mergeCell ref="B7:B16"/>
    <mergeCell ref="K14:P14"/>
    <mergeCell ref="C15:D15"/>
    <mergeCell ref="E15:J15"/>
    <mergeCell ref="K15:P15"/>
    <mergeCell ref="A22:AQ22"/>
    <mergeCell ref="E25:J25"/>
    <mergeCell ref="K25:P25"/>
    <mergeCell ref="Q25:V25"/>
    <mergeCell ref="Q6:V6"/>
    <mergeCell ref="W6:AB6"/>
    <mergeCell ref="AC6:AI6"/>
    <mergeCell ref="AJ6:AQ6"/>
    <mergeCell ref="K7:P7"/>
    <mergeCell ref="Q7:V7"/>
    <mergeCell ref="AJ10:AQ10"/>
    <mergeCell ref="A5:AQ5"/>
    <mergeCell ref="B25:B31"/>
    <mergeCell ref="C25:D31"/>
    <mergeCell ref="Q30:V30"/>
    <mergeCell ref="W30:AB30"/>
    <mergeCell ref="AC30:AI30"/>
    <mergeCell ref="AJ30:AQ30"/>
    <mergeCell ref="AJ9:AQ9"/>
    <mergeCell ref="C10:D10"/>
    <mergeCell ref="E10:J10"/>
    <mergeCell ref="K10:P10"/>
    <mergeCell ref="Q10:V10"/>
    <mergeCell ref="W10:AB10"/>
    <mergeCell ref="AC10:AI10"/>
    <mergeCell ref="AJ7:AQ7"/>
    <mergeCell ref="A12:A16"/>
    <mergeCell ref="A7:A11"/>
    <mergeCell ref="W8:AB8"/>
    <mergeCell ref="AC8:AI8"/>
    <mergeCell ref="C9:D9"/>
    <mergeCell ref="E9:J9"/>
    <mergeCell ref="AJ8:AQ8"/>
    <mergeCell ref="C7:D7"/>
    <mergeCell ref="E7:J7"/>
    <mergeCell ref="C13:D13"/>
    <mergeCell ref="C11:D11"/>
    <mergeCell ref="E11:J11"/>
    <mergeCell ref="K11:P11"/>
    <mergeCell ref="Q11:V11"/>
    <mergeCell ref="AC11:AI11"/>
    <mergeCell ref="W9:AB9"/>
    <mergeCell ref="AC9:AI9"/>
    <mergeCell ref="W11:AB11"/>
    <mergeCell ref="AJ11:AQ11"/>
    <mergeCell ref="C12:D12"/>
    <mergeCell ref="E12:J12"/>
    <mergeCell ref="K12:P12"/>
    <mergeCell ref="Q12:V12"/>
    <mergeCell ref="W12:AB12"/>
    <mergeCell ref="AC12:AI12"/>
    <mergeCell ref="AC7:AI7"/>
    <mergeCell ref="AJ12:AQ12"/>
    <mergeCell ref="Q9:V9"/>
    <mergeCell ref="Q8:V8"/>
    <mergeCell ref="W7:AB7"/>
    <mergeCell ref="K9:P9"/>
    <mergeCell ref="Q14:V14"/>
    <mergeCell ref="W14:AB14"/>
    <mergeCell ref="AC14:AI14"/>
    <mergeCell ref="E13:J13"/>
    <mergeCell ref="K13:P13"/>
    <mergeCell ref="Q13:V13"/>
    <mergeCell ref="W13:AB13"/>
    <mergeCell ref="AC13:AI13"/>
    <mergeCell ref="AJ14:AQ14"/>
    <mergeCell ref="AJ13:AQ13"/>
    <mergeCell ref="Q15:V15"/>
    <mergeCell ref="W15:AB15"/>
    <mergeCell ref="AC15:AI15"/>
    <mergeCell ref="AJ15:AQ15"/>
    <mergeCell ref="C14:D14"/>
    <mergeCell ref="E14:J14"/>
    <mergeCell ref="AJ16:AQ16"/>
    <mergeCell ref="C17:D17"/>
    <mergeCell ref="A17:A18"/>
    <mergeCell ref="B17:B20"/>
    <mergeCell ref="E17:J17"/>
    <mergeCell ref="K17:P17"/>
    <mergeCell ref="Q17:V17"/>
    <mergeCell ref="W17:AB17"/>
    <mergeCell ref="AC17:AI17"/>
    <mergeCell ref="AJ17:AQ17"/>
    <mergeCell ref="C16:D16"/>
    <mergeCell ref="E16:J16"/>
    <mergeCell ref="K16:P16"/>
    <mergeCell ref="Q16:V16"/>
    <mergeCell ref="W16:AB16"/>
    <mergeCell ref="AC16:AI16"/>
    <mergeCell ref="E20:J20"/>
    <mergeCell ref="K20:P20"/>
    <mergeCell ref="Q20:V20"/>
    <mergeCell ref="W20:AB20"/>
    <mergeCell ref="AC20:AI20"/>
    <mergeCell ref="AJ20:AQ20"/>
    <mergeCell ref="AJ18:AQ18"/>
    <mergeCell ref="C19:D19"/>
    <mergeCell ref="A19:A20"/>
    <mergeCell ref="E19:J19"/>
    <mergeCell ref="K19:P19"/>
    <mergeCell ref="Q19:V19"/>
    <mergeCell ref="W19:AB19"/>
    <mergeCell ref="AC19:AI19"/>
    <mergeCell ref="AJ19:AQ19"/>
    <mergeCell ref="C20:D20"/>
    <mergeCell ref="C18:D18"/>
    <mergeCell ref="E18:J18"/>
    <mergeCell ref="K18:P18"/>
    <mergeCell ref="Q18:V18"/>
    <mergeCell ref="W18:AB18"/>
    <mergeCell ref="AC18:AI18"/>
    <mergeCell ref="AC25:AI25"/>
    <mergeCell ref="AJ25:AQ25"/>
    <mergeCell ref="E26:J26"/>
    <mergeCell ref="K26:P26"/>
    <mergeCell ref="Q26:V26"/>
    <mergeCell ref="W26:AB26"/>
    <mergeCell ref="AC26:AI26"/>
    <mergeCell ref="AJ26:AQ26"/>
    <mergeCell ref="AJ28:AQ28"/>
    <mergeCell ref="Q34:V34"/>
    <mergeCell ref="W34:AB34"/>
    <mergeCell ref="AC34:AI34"/>
    <mergeCell ref="AJ34:AQ34"/>
    <mergeCell ref="A24:AQ24"/>
    <mergeCell ref="A33:AQ33"/>
    <mergeCell ref="AJ29:AQ29"/>
    <mergeCell ref="AJ27:AQ27"/>
    <mergeCell ref="E27:J27"/>
    <mergeCell ref="K27:P27"/>
    <mergeCell ref="Q27:V27"/>
    <mergeCell ref="W27:AB27"/>
    <mergeCell ref="AC27:AI27"/>
    <mergeCell ref="E29:J29"/>
    <mergeCell ref="K29:P29"/>
    <mergeCell ref="Q29:V29"/>
    <mergeCell ref="W29:AB29"/>
    <mergeCell ref="AC29:AI29"/>
    <mergeCell ref="E28:J28"/>
    <mergeCell ref="K28:P28"/>
    <mergeCell ref="Q28:V28"/>
    <mergeCell ref="W28:AB28"/>
    <mergeCell ref="AC28:AI28"/>
    <mergeCell ref="W25:AB25"/>
    <mergeCell ref="A40:AQ40"/>
    <mergeCell ref="E31:AQ31"/>
    <mergeCell ref="E35:J35"/>
    <mergeCell ref="K35:P35"/>
    <mergeCell ref="Q35:V35"/>
    <mergeCell ref="W35:AB35"/>
    <mergeCell ref="AC35:AI35"/>
    <mergeCell ref="AJ35:AQ35"/>
    <mergeCell ref="E36:J36"/>
    <mergeCell ref="K36:P36"/>
    <mergeCell ref="Q36:V36"/>
    <mergeCell ref="W36:AB36"/>
    <mergeCell ref="AC36:AI36"/>
    <mergeCell ref="AJ36:AQ36"/>
    <mergeCell ref="E37:J37"/>
    <mergeCell ref="K37:P37"/>
    <mergeCell ref="Q37:V37"/>
    <mergeCell ref="W37:AB37"/>
    <mergeCell ref="AC37:AI37"/>
    <mergeCell ref="AJ37:AQ37"/>
    <mergeCell ref="B34:B37"/>
    <mergeCell ref="C34:D37"/>
    <mergeCell ref="E34:J34"/>
    <mergeCell ref="K34:P34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Footer>&amp;CStrona 5 z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9" tint="-0.249977111117893"/>
  </sheetPr>
  <dimension ref="A1:Q53"/>
  <sheetViews>
    <sheetView view="pageBreakPreview" zoomScale="110" zoomScaleNormal="100" zoomScaleSheetLayoutView="110" workbookViewId="0">
      <selection activeCell="Q11" sqref="Q11"/>
    </sheetView>
  </sheetViews>
  <sheetFormatPr defaultColWidth="9.140625" defaultRowHeight="12.75" x14ac:dyDescent="0.2"/>
  <cols>
    <col min="1" max="1" width="4.140625" style="67" customWidth="1"/>
    <col min="2" max="2" width="6.42578125" bestFit="1" customWidth="1"/>
    <col min="3" max="3" width="5.28515625" bestFit="1" customWidth="1"/>
    <col min="4" max="4" width="6.5703125" customWidth="1"/>
    <col min="5" max="5" width="6.7109375" customWidth="1"/>
    <col min="6" max="6" width="6.7109375" style="278" customWidth="1"/>
    <col min="7" max="7" width="6.7109375" customWidth="1"/>
    <col min="8" max="8" width="6.7109375" style="278" customWidth="1"/>
    <col min="9" max="9" width="6.7109375" customWidth="1"/>
    <col min="10" max="10" width="6.7109375" style="278" customWidth="1"/>
    <col min="11" max="11" width="6.7109375" customWidth="1"/>
    <col min="12" max="12" width="6.7109375" style="278" customWidth="1"/>
    <col min="13" max="13" width="7.7109375" customWidth="1"/>
    <col min="14" max="14" width="8" customWidth="1"/>
    <col min="15" max="15" width="7.7109375" customWidth="1"/>
    <col min="16" max="16" width="8.42578125" customWidth="1"/>
    <col min="17" max="17" width="9" customWidth="1"/>
  </cols>
  <sheetData>
    <row r="1" spans="1:17" ht="30" x14ac:dyDescent="0.4">
      <c r="A1" s="636" t="s">
        <v>113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</row>
    <row r="2" spans="1:17" ht="27" customHeight="1" x14ac:dyDescent="0.2">
      <c r="A2" s="637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1:17" ht="15" customHeight="1" x14ac:dyDescent="0.2">
      <c r="A3" s="284" t="s">
        <v>142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7" s="153" customFormat="1" ht="16.5" customHeight="1" thickBot="1" x14ac:dyDescent="0.25">
      <c r="A4" s="638"/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</row>
    <row r="5" spans="1:17" ht="19.5" customHeight="1" x14ac:dyDescent="0.2">
      <c r="A5" s="640" t="s">
        <v>154</v>
      </c>
      <c r="B5" s="641"/>
      <c r="C5" s="641"/>
      <c r="D5" s="641"/>
      <c r="E5" s="642" t="s">
        <v>120</v>
      </c>
      <c r="F5" s="642"/>
      <c r="G5" s="642"/>
      <c r="H5" s="642"/>
      <c r="I5" s="642"/>
      <c r="J5" s="642"/>
      <c r="K5" s="642"/>
      <c r="L5" s="643"/>
      <c r="M5" s="644" t="s">
        <v>46</v>
      </c>
      <c r="N5" s="645"/>
      <c r="O5" s="645"/>
      <c r="P5" s="645"/>
      <c r="Q5" s="646"/>
    </row>
    <row r="6" spans="1:17" ht="25.5" customHeight="1" x14ac:dyDescent="0.2">
      <c r="A6" s="652" t="s">
        <v>119</v>
      </c>
      <c r="B6" s="653"/>
      <c r="C6" s="653"/>
      <c r="D6" s="653"/>
      <c r="E6" s="658" t="s">
        <v>141</v>
      </c>
      <c r="F6" s="658"/>
      <c r="G6" s="658"/>
      <c r="H6" s="658"/>
      <c r="I6" s="658"/>
      <c r="J6" s="658"/>
      <c r="K6" s="658"/>
      <c r="L6" s="659"/>
      <c r="M6" s="647"/>
      <c r="N6" s="648"/>
      <c r="O6" s="648"/>
      <c r="P6" s="648"/>
      <c r="Q6" s="649"/>
    </row>
    <row r="7" spans="1:17" ht="10.5" customHeight="1" x14ac:dyDescent="0.2">
      <c r="A7" s="654" t="s">
        <v>121</v>
      </c>
      <c r="B7" s="655"/>
      <c r="C7" s="655"/>
      <c r="D7" s="655"/>
      <c r="E7" s="660" t="s">
        <v>158</v>
      </c>
      <c r="F7" s="660"/>
      <c r="G7" s="660"/>
      <c r="H7" s="660"/>
      <c r="I7" s="660"/>
      <c r="J7" s="660"/>
      <c r="K7" s="660"/>
      <c r="L7" s="661"/>
      <c r="M7" s="647"/>
      <c r="N7" s="648"/>
      <c r="O7" s="648"/>
      <c r="P7" s="648"/>
      <c r="Q7" s="649"/>
    </row>
    <row r="8" spans="1:17" ht="9.75" customHeight="1" thickBot="1" x14ac:dyDescent="0.25">
      <c r="A8" s="656"/>
      <c r="B8" s="657"/>
      <c r="C8" s="657"/>
      <c r="D8" s="657"/>
      <c r="E8" s="662"/>
      <c r="F8" s="662"/>
      <c r="G8" s="662"/>
      <c r="H8" s="662"/>
      <c r="I8" s="662"/>
      <c r="J8" s="662"/>
      <c r="K8" s="662"/>
      <c r="L8" s="663"/>
      <c r="M8" s="650"/>
      <c r="N8" s="651"/>
      <c r="O8" s="651"/>
      <c r="P8" s="651"/>
      <c r="Q8" s="649"/>
    </row>
    <row r="9" spans="1:17" s="279" customFormat="1" ht="21" customHeight="1" thickBot="1" x14ac:dyDescent="0.25">
      <c r="A9" s="674" t="s">
        <v>122</v>
      </c>
      <c r="B9" s="680" t="s">
        <v>21</v>
      </c>
      <c r="C9" s="664" t="s">
        <v>22</v>
      </c>
      <c r="D9" s="664" t="s">
        <v>123</v>
      </c>
      <c r="E9" s="711" t="s">
        <v>147</v>
      </c>
      <c r="F9" s="712"/>
      <c r="G9" s="712"/>
      <c r="H9" s="713"/>
      <c r="I9" s="711" t="s">
        <v>146</v>
      </c>
      <c r="J9" s="712"/>
      <c r="K9" s="712"/>
      <c r="L9" s="713"/>
      <c r="M9" s="664" t="s">
        <v>124</v>
      </c>
      <c r="N9" s="664" t="s">
        <v>125</v>
      </c>
      <c r="O9" s="664" t="s">
        <v>126</v>
      </c>
      <c r="P9" s="715" t="s">
        <v>143</v>
      </c>
      <c r="Q9" s="709" t="s">
        <v>144</v>
      </c>
    </row>
    <row r="10" spans="1:17" s="279" customFormat="1" ht="21" customHeight="1" thickBot="1" x14ac:dyDescent="0.25">
      <c r="A10" s="675"/>
      <c r="B10" s="681"/>
      <c r="C10" s="665"/>
      <c r="D10" s="665"/>
      <c r="E10" s="666" t="s">
        <v>1</v>
      </c>
      <c r="F10" s="667"/>
      <c r="G10" s="666" t="s">
        <v>2</v>
      </c>
      <c r="H10" s="668"/>
      <c r="I10" s="667" t="s">
        <v>1</v>
      </c>
      <c r="J10" s="667"/>
      <c r="K10" s="666" t="s">
        <v>2</v>
      </c>
      <c r="L10" s="668"/>
      <c r="M10" s="665"/>
      <c r="N10" s="665"/>
      <c r="O10" s="665"/>
      <c r="P10" s="716"/>
      <c r="Q10" s="710"/>
    </row>
    <row r="11" spans="1:17" ht="22.5" customHeight="1" x14ac:dyDescent="0.2">
      <c r="A11" s="675"/>
      <c r="B11" s="688">
        <v>115</v>
      </c>
      <c r="C11" s="677">
        <v>125</v>
      </c>
      <c r="D11" s="285">
        <v>1250</v>
      </c>
      <c r="E11" s="686">
        <v>34.200000000000003</v>
      </c>
      <c r="F11" s="687"/>
      <c r="G11" s="682">
        <v>1903.5</v>
      </c>
      <c r="H11" s="683"/>
      <c r="I11" s="686">
        <v>35.28</v>
      </c>
      <c r="J11" s="687"/>
      <c r="K11" s="682">
        <v>1963.5</v>
      </c>
      <c r="L11" s="683"/>
      <c r="M11" s="286">
        <v>40</v>
      </c>
      <c r="N11" s="287">
        <f>1.25*0.115*0.125*40</f>
        <v>0.71875000000000011</v>
      </c>
      <c r="O11" s="288">
        <f>1/(1.25*0.115*0.125)</f>
        <v>55.65217391304347</v>
      </c>
      <c r="P11" s="289">
        <v>12.6</v>
      </c>
      <c r="Q11" s="290">
        <v>520</v>
      </c>
    </row>
    <row r="12" spans="1:17" ht="22.5" customHeight="1" x14ac:dyDescent="0.2">
      <c r="A12" s="675"/>
      <c r="B12" s="689"/>
      <c r="C12" s="678"/>
      <c r="D12" s="291">
        <v>1500</v>
      </c>
      <c r="E12" s="691">
        <v>41.04</v>
      </c>
      <c r="F12" s="692"/>
      <c r="G12" s="684"/>
      <c r="H12" s="685"/>
      <c r="I12" s="691">
        <v>42.34</v>
      </c>
      <c r="J12" s="692"/>
      <c r="K12" s="684"/>
      <c r="L12" s="685"/>
      <c r="M12" s="292">
        <v>40</v>
      </c>
      <c r="N12" s="293">
        <f>1.5*0.115*0.125*40</f>
        <v>0.86250000000000004</v>
      </c>
      <c r="O12" s="294">
        <f>1/(1.5*0.115*0.125)</f>
        <v>46.376811594202891</v>
      </c>
      <c r="P12" s="295">
        <v>16</v>
      </c>
      <c r="Q12" s="296">
        <v>640</v>
      </c>
    </row>
    <row r="13" spans="1:17" ht="22.5" customHeight="1" x14ac:dyDescent="0.2">
      <c r="A13" s="675"/>
      <c r="B13" s="690"/>
      <c r="C13" s="678"/>
      <c r="D13" s="291">
        <v>2000</v>
      </c>
      <c r="E13" s="669">
        <v>54.73</v>
      </c>
      <c r="F13" s="670"/>
      <c r="G13" s="684"/>
      <c r="H13" s="685"/>
      <c r="I13" s="669">
        <v>56.45</v>
      </c>
      <c r="J13" s="670"/>
      <c r="K13" s="684"/>
      <c r="L13" s="685"/>
      <c r="M13" s="292">
        <v>40</v>
      </c>
      <c r="N13" s="293">
        <f>2*0.115*0.125*40</f>
        <v>1.1500000000000001</v>
      </c>
      <c r="O13" s="294">
        <f>1/(2*0.115*0.125)</f>
        <v>34.782608695652172</v>
      </c>
      <c r="P13" s="295">
        <v>21</v>
      </c>
      <c r="Q13" s="296">
        <v>840</v>
      </c>
    </row>
    <row r="14" spans="1:17" s="1" customFormat="1" ht="22.5" customHeight="1" x14ac:dyDescent="0.2">
      <c r="A14" s="675"/>
      <c r="B14" s="718">
        <v>175</v>
      </c>
      <c r="C14" s="678"/>
      <c r="D14" s="291">
        <v>1250</v>
      </c>
      <c r="E14" s="669">
        <v>52.05</v>
      </c>
      <c r="F14" s="670"/>
      <c r="G14" s="684"/>
      <c r="H14" s="685"/>
      <c r="I14" s="669">
        <v>53.69</v>
      </c>
      <c r="J14" s="670"/>
      <c r="K14" s="684"/>
      <c r="L14" s="685"/>
      <c r="M14" s="297">
        <v>30</v>
      </c>
      <c r="N14" s="293">
        <f>1.25*0.175*0.125*30</f>
        <v>0.8203125</v>
      </c>
      <c r="O14" s="294">
        <f>1/(N14/M14)</f>
        <v>36.571428571428569</v>
      </c>
      <c r="P14" s="295">
        <v>19</v>
      </c>
      <c r="Q14" s="296">
        <v>570</v>
      </c>
    </row>
    <row r="15" spans="1:17" s="1" customFormat="1" ht="22.5" customHeight="1" x14ac:dyDescent="0.2">
      <c r="A15" s="675"/>
      <c r="B15" s="689"/>
      <c r="C15" s="678"/>
      <c r="D15" s="291">
        <v>1500</v>
      </c>
      <c r="E15" s="669">
        <v>62.46</v>
      </c>
      <c r="F15" s="670"/>
      <c r="G15" s="684"/>
      <c r="H15" s="685"/>
      <c r="I15" s="669">
        <v>64.430000000000007</v>
      </c>
      <c r="J15" s="670"/>
      <c r="K15" s="684"/>
      <c r="L15" s="685"/>
      <c r="M15" s="298">
        <v>30</v>
      </c>
      <c r="N15" s="299">
        <f>1.5*0.175*0.125*30</f>
        <v>0.98437499999999978</v>
      </c>
      <c r="O15" s="300">
        <f>1/(N15/M15)</f>
        <v>30.476190476190482</v>
      </c>
      <c r="P15" s="301">
        <v>24</v>
      </c>
      <c r="Q15" s="290">
        <v>720</v>
      </c>
    </row>
    <row r="16" spans="1:17" ht="22.5" customHeight="1" x14ac:dyDescent="0.2">
      <c r="A16" s="675"/>
      <c r="B16" s="689"/>
      <c r="C16" s="678"/>
      <c r="D16" s="291">
        <v>2000</v>
      </c>
      <c r="E16" s="669">
        <v>83.28</v>
      </c>
      <c r="F16" s="670"/>
      <c r="G16" s="684"/>
      <c r="H16" s="685"/>
      <c r="I16" s="669">
        <v>85.9</v>
      </c>
      <c r="J16" s="670"/>
      <c r="K16" s="684"/>
      <c r="L16" s="685"/>
      <c r="M16" s="292">
        <v>30</v>
      </c>
      <c r="N16" s="293">
        <f>2*0.175*0.125*30</f>
        <v>1.3125</v>
      </c>
      <c r="O16" s="294">
        <f>1/(N16/M16)</f>
        <v>22.857142857142858</v>
      </c>
      <c r="P16" s="295">
        <v>31</v>
      </c>
      <c r="Q16" s="296">
        <v>930</v>
      </c>
    </row>
    <row r="17" spans="1:17" ht="22.5" customHeight="1" thickBot="1" x14ac:dyDescent="0.25">
      <c r="A17" s="676"/>
      <c r="B17" s="719"/>
      <c r="C17" s="679"/>
      <c r="D17" s="302">
        <v>2500</v>
      </c>
      <c r="E17" s="672">
        <v>104.1</v>
      </c>
      <c r="F17" s="673"/>
      <c r="G17" s="672"/>
      <c r="H17" s="673"/>
      <c r="I17" s="672">
        <v>107.38</v>
      </c>
      <c r="J17" s="673"/>
      <c r="K17" s="672"/>
      <c r="L17" s="673"/>
      <c r="M17" s="303">
        <v>30</v>
      </c>
      <c r="N17" s="304">
        <f>2.5*0.175*0.125*30</f>
        <v>1.640625</v>
      </c>
      <c r="O17" s="305">
        <f>1/(N17/M17)</f>
        <v>18.285714285714285</v>
      </c>
      <c r="P17" s="306">
        <v>39</v>
      </c>
      <c r="Q17" s="307">
        <v>1170</v>
      </c>
    </row>
    <row r="18" spans="1:17" ht="22.5" customHeight="1" x14ac:dyDescent="0.2">
      <c r="A18" s="717" t="s">
        <v>145</v>
      </c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</row>
    <row r="19" spans="1:17" ht="9.9499999999999993" customHeight="1" x14ac:dyDescent="0.2">
      <c r="I19" s="281"/>
      <c r="J19" s="281"/>
      <c r="K19" s="281"/>
    </row>
    <row r="20" spans="1:17" s="279" customFormat="1" ht="14.25" x14ac:dyDescent="0.2">
      <c r="A20" s="282" t="s">
        <v>155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</row>
    <row r="21" spans="1:17" s="283" customFormat="1" ht="27" customHeight="1" x14ac:dyDescent="0.2">
      <c r="A21" s="714" t="s">
        <v>157</v>
      </c>
      <c r="B21" s="714"/>
      <c r="C21" s="714"/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</row>
    <row r="22" spans="1:17" s="279" customFormat="1" ht="15" x14ac:dyDescent="0.25">
      <c r="A22" s="671" t="s">
        <v>159</v>
      </c>
      <c r="B22" s="671"/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671"/>
      <c r="P22" s="671"/>
    </row>
    <row r="23" spans="1:17" s="279" customFormat="1" ht="12.75" customHeight="1" x14ac:dyDescent="0.2">
      <c r="A23" s="671" t="s">
        <v>160</v>
      </c>
      <c r="B23" s="671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</row>
    <row r="24" spans="1:17" s="9" customFormat="1" ht="12.75" customHeight="1" x14ac:dyDescent="0.25">
      <c r="A24" s="693" t="s">
        <v>153</v>
      </c>
      <c r="B24" s="693"/>
      <c r="C24" s="693"/>
      <c r="D24" s="693"/>
      <c r="E24" s="693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693"/>
    </row>
    <row r="25" spans="1:17" ht="15" customHeight="1" x14ac:dyDescent="0.2">
      <c r="A25" s="280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</row>
    <row r="26" spans="1:17" ht="15" customHeight="1" x14ac:dyDescent="0.2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</row>
    <row r="27" spans="1:17" ht="24.75" customHeight="1" x14ac:dyDescent="0.2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</row>
    <row r="28" spans="1:17" ht="15" customHeight="1" x14ac:dyDescent="0.2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</row>
    <row r="29" spans="1:17" ht="15" customHeight="1" x14ac:dyDescent="0.2">
      <c r="A29" s="280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</row>
    <row r="30" spans="1:17" ht="15" customHeight="1" x14ac:dyDescent="0.2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</row>
    <row r="31" spans="1:17" ht="15" customHeight="1" x14ac:dyDescent="0.2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</row>
    <row r="32" spans="1:17" ht="15" customHeight="1" x14ac:dyDescent="0.2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</row>
    <row r="33" spans="1:12" ht="15" x14ac:dyDescent="0.2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</row>
    <row r="34" spans="1:12" ht="16.5" customHeight="1" x14ac:dyDescent="0.2">
      <c r="A34" s="28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6" spans="1:12" ht="14.25" customHeight="1" x14ac:dyDescent="0.2"/>
    <row r="45" spans="1:12" x14ac:dyDescent="0.2">
      <c r="A45" s="67" t="s">
        <v>156</v>
      </c>
    </row>
    <row r="47" spans="1:12" ht="71.25" customHeight="1" x14ac:dyDescent="0.2"/>
    <row r="48" spans="1:12" ht="13.5" thickBot="1" x14ac:dyDescent="0.25"/>
    <row r="49" spans="1:16" ht="13.5" thickBot="1" x14ac:dyDescent="0.25">
      <c r="A49" s="694" t="s">
        <v>114</v>
      </c>
      <c r="B49" s="695"/>
      <c r="C49" s="695"/>
      <c r="D49" s="695"/>
      <c r="E49" s="695" t="s">
        <v>115</v>
      </c>
      <c r="F49" s="695"/>
      <c r="G49" s="695"/>
      <c r="H49" s="695" t="s">
        <v>116</v>
      </c>
      <c r="I49" s="695"/>
      <c r="J49" s="695"/>
      <c r="K49" s="695" t="s">
        <v>117</v>
      </c>
      <c r="L49" s="695"/>
      <c r="M49" s="695"/>
      <c r="N49" s="695" t="s">
        <v>118</v>
      </c>
      <c r="O49" s="695"/>
      <c r="P49" s="696"/>
    </row>
    <row r="50" spans="1:16" ht="21.75" customHeight="1" x14ac:dyDescent="0.2">
      <c r="A50" s="698" t="s">
        <v>64</v>
      </c>
      <c r="B50" s="699"/>
      <c r="C50" s="699"/>
      <c r="D50" s="700"/>
      <c r="E50" s="701" t="s">
        <v>65</v>
      </c>
      <c r="F50" s="701"/>
      <c r="G50" s="701"/>
      <c r="H50" s="698" t="s">
        <v>66</v>
      </c>
      <c r="I50" s="699"/>
      <c r="J50" s="700"/>
      <c r="K50" s="701" t="s">
        <v>67</v>
      </c>
      <c r="L50" s="701"/>
      <c r="M50" s="701"/>
      <c r="N50" s="701" t="s">
        <v>68</v>
      </c>
      <c r="O50" s="701"/>
      <c r="P50" s="701"/>
    </row>
    <row r="51" spans="1:16" x14ac:dyDescent="0.2">
      <c r="A51" s="698" t="s">
        <v>69</v>
      </c>
      <c r="B51" s="699"/>
      <c r="C51" s="699"/>
      <c r="D51" s="700"/>
      <c r="E51" s="701" t="s">
        <v>70</v>
      </c>
      <c r="F51" s="701"/>
      <c r="G51" s="701"/>
      <c r="H51" s="698" t="s">
        <v>71</v>
      </c>
      <c r="I51" s="699"/>
      <c r="J51" s="700"/>
      <c r="K51" s="701" t="s">
        <v>72</v>
      </c>
      <c r="L51" s="701"/>
      <c r="M51" s="701"/>
      <c r="N51" s="701" t="s">
        <v>73</v>
      </c>
      <c r="O51" s="701"/>
      <c r="P51" s="701"/>
    </row>
    <row r="52" spans="1:16" ht="17.25" customHeight="1" x14ac:dyDescent="0.2">
      <c r="A52" s="702" t="s">
        <v>149</v>
      </c>
      <c r="B52" s="703"/>
      <c r="C52" s="703"/>
      <c r="D52" s="704"/>
      <c r="E52" s="697" t="s">
        <v>148</v>
      </c>
      <c r="F52" s="697"/>
      <c r="G52" s="697"/>
      <c r="H52" s="702" t="s">
        <v>150</v>
      </c>
      <c r="I52" s="703"/>
      <c r="J52" s="704"/>
      <c r="K52" s="697" t="s">
        <v>151</v>
      </c>
      <c r="L52" s="697"/>
      <c r="M52" s="697"/>
      <c r="N52" s="697" t="s">
        <v>152</v>
      </c>
      <c r="O52" s="697"/>
      <c r="P52" s="697"/>
    </row>
    <row r="53" spans="1:16" x14ac:dyDescent="0.2">
      <c r="A53" s="705" t="s">
        <v>85</v>
      </c>
      <c r="B53" s="706"/>
      <c r="C53" s="706"/>
      <c r="D53" s="707"/>
      <c r="E53" s="708" t="s">
        <v>88</v>
      </c>
      <c r="F53" s="708"/>
      <c r="G53" s="708"/>
      <c r="H53" s="705" t="s">
        <v>89</v>
      </c>
      <c r="I53" s="706"/>
      <c r="J53" s="707"/>
      <c r="K53" s="708" t="s">
        <v>91</v>
      </c>
      <c r="L53" s="708"/>
      <c r="M53" s="708"/>
      <c r="N53" s="708" t="s">
        <v>93</v>
      </c>
      <c r="O53" s="708"/>
      <c r="P53" s="708"/>
    </row>
  </sheetData>
  <mergeCells count="74">
    <mergeCell ref="Q9:Q10"/>
    <mergeCell ref="E9:H9"/>
    <mergeCell ref="I9:L9"/>
    <mergeCell ref="A21:Q21"/>
    <mergeCell ref="I10:J10"/>
    <mergeCell ref="K10:L10"/>
    <mergeCell ref="M9:M10"/>
    <mergeCell ref="N9:N10"/>
    <mergeCell ref="O9:O10"/>
    <mergeCell ref="P9:P10"/>
    <mergeCell ref="E15:F15"/>
    <mergeCell ref="I15:J15"/>
    <mergeCell ref="A18:Q18"/>
    <mergeCell ref="E14:F14"/>
    <mergeCell ref="B14:B17"/>
    <mergeCell ref="I14:J14"/>
    <mergeCell ref="A53:D53"/>
    <mergeCell ref="E53:G53"/>
    <mergeCell ref="H53:J53"/>
    <mergeCell ref="K53:M53"/>
    <mergeCell ref="N53:P53"/>
    <mergeCell ref="K52:M52"/>
    <mergeCell ref="N52:P52"/>
    <mergeCell ref="A50:D50"/>
    <mergeCell ref="E50:G50"/>
    <mergeCell ref="H50:J50"/>
    <mergeCell ref="K50:M50"/>
    <mergeCell ref="N50:P50"/>
    <mergeCell ref="A51:D51"/>
    <mergeCell ref="E51:G51"/>
    <mergeCell ref="H51:J51"/>
    <mergeCell ref="A52:D52"/>
    <mergeCell ref="E52:G52"/>
    <mergeCell ref="H52:J52"/>
    <mergeCell ref="K51:M51"/>
    <mergeCell ref="N51:P51"/>
    <mergeCell ref="A23:P23"/>
    <mergeCell ref="A24:Q24"/>
    <mergeCell ref="A49:D49"/>
    <mergeCell ref="E49:G49"/>
    <mergeCell ref="H49:J49"/>
    <mergeCell ref="K49:M49"/>
    <mergeCell ref="N49:P49"/>
    <mergeCell ref="A22:P22"/>
    <mergeCell ref="E16:F16"/>
    <mergeCell ref="E17:F17"/>
    <mergeCell ref="I16:J16"/>
    <mergeCell ref="I17:J17"/>
    <mergeCell ref="A9:A17"/>
    <mergeCell ref="C11:C17"/>
    <mergeCell ref="B9:B10"/>
    <mergeCell ref="K11:L17"/>
    <mergeCell ref="I11:J11"/>
    <mergeCell ref="B11:B13"/>
    <mergeCell ref="I13:J13"/>
    <mergeCell ref="G11:H17"/>
    <mergeCell ref="E12:F12"/>
    <mergeCell ref="I12:J12"/>
    <mergeCell ref="E11:F11"/>
    <mergeCell ref="C9:C10"/>
    <mergeCell ref="D9:D10"/>
    <mergeCell ref="E10:F10"/>
    <mergeCell ref="G10:H10"/>
    <mergeCell ref="E13:F13"/>
    <mergeCell ref="M5:Q8"/>
    <mergeCell ref="A6:D6"/>
    <mergeCell ref="A7:D8"/>
    <mergeCell ref="E6:L6"/>
    <mergeCell ref="E7:L8"/>
    <mergeCell ref="A1:L1"/>
    <mergeCell ref="A2:L2"/>
    <mergeCell ref="A4:L4"/>
    <mergeCell ref="A5:D5"/>
    <mergeCell ref="E5:L5"/>
  </mergeCells>
  <pageMargins left="0.74803149606299213" right="0.74803149606299213" top="0.98425196850393704" bottom="0.98425196850393704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S129"/>
  <sheetViews>
    <sheetView workbookViewId="0">
      <selection activeCell="L45" sqref="L45"/>
    </sheetView>
  </sheetViews>
  <sheetFormatPr defaultColWidth="9.140625" defaultRowHeight="12.75" x14ac:dyDescent="0.2"/>
  <cols>
    <col min="1" max="1" width="2.7109375" style="67" customWidth="1"/>
    <col min="2" max="2" width="5.7109375" customWidth="1"/>
    <col min="3" max="4" width="6.42578125" customWidth="1"/>
    <col min="5" max="5" width="8.7109375" customWidth="1"/>
    <col min="6" max="6" width="9.7109375" style="256" bestFit="1" customWidth="1"/>
    <col min="7" max="7" width="9.7109375" customWidth="1"/>
    <col min="8" max="8" width="9.7109375" style="256" customWidth="1"/>
    <col min="9" max="9" width="9.28515625" customWidth="1"/>
    <col min="10" max="10" width="9.7109375" style="256" customWidth="1"/>
    <col min="11" max="11" width="9.7109375" customWidth="1"/>
    <col min="12" max="12" width="9.7109375" style="256" customWidth="1"/>
    <col min="13" max="14" width="11.5703125" bestFit="1" customWidth="1"/>
    <col min="15" max="15" width="9.7109375" style="256" customWidth="1"/>
    <col min="16" max="16" width="5.28515625" customWidth="1"/>
  </cols>
  <sheetData>
    <row r="1" spans="1:18" ht="15" x14ac:dyDescent="0.2">
      <c r="B1" s="11"/>
      <c r="C1" s="11"/>
      <c r="D1" s="11"/>
      <c r="E1" s="11"/>
      <c r="F1" s="243"/>
      <c r="G1" s="11"/>
      <c r="H1" s="243"/>
      <c r="I1" s="11"/>
      <c r="J1" s="243"/>
      <c r="K1" s="11"/>
      <c r="L1" s="243"/>
      <c r="M1" s="11"/>
      <c r="N1" s="11"/>
      <c r="O1" s="243"/>
    </row>
    <row r="2" spans="1:18" ht="30" x14ac:dyDescent="0.4">
      <c r="B2" s="819" t="s">
        <v>49</v>
      </c>
      <c r="C2" s="820"/>
      <c r="D2" s="820"/>
      <c r="E2" s="820"/>
      <c r="F2" s="820"/>
      <c r="G2" s="820"/>
      <c r="H2" s="95"/>
      <c r="I2" s="12"/>
      <c r="J2" s="243"/>
      <c r="K2" s="12"/>
      <c r="L2" s="95"/>
      <c r="M2" s="12"/>
      <c r="N2" s="12"/>
      <c r="O2" s="95"/>
    </row>
    <row r="3" spans="1:18" ht="14.25" customHeight="1" x14ac:dyDescent="0.2">
      <c r="A3" s="821"/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13"/>
      <c r="N3" s="13"/>
      <c r="O3" s="274"/>
    </row>
    <row r="4" spans="1:18" s="153" customFormat="1" ht="16.5" customHeight="1" x14ac:dyDescent="0.2">
      <c r="A4" s="822" t="s">
        <v>95</v>
      </c>
      <c r="B4" s="822"/>
      <c r="C4" s="822"/>
      <c r="D4" s="822"/>
      <c r="E4" s="822"/>
      <c r="F4" s="822"/>
      <c r="G4" s="822"/>
      <c r="H4" s="822"/>
      <c r="I4" s="822"/>
      <c r="J4" s="260"/>
      <c r="K4" s="154"/>
      <c r="L4" s="260"/>
      <c r="M4" s="154"/>
      <c r="N4" s="154"/>
      <c r="O4" s="260"/>
    </row>
    <row r="5" spans="1:18" ht="15" customHeight="1" x14ac:dyDescent="0.2">
      <c r="A5" s="205" t="s">
        <v>110</v>
      </c>
      <c r="B5" s="205"/>
      <c r="C5" s="205"/>
      <c r="D5" s="205"/>
      <c r="E5" s="205"/>
      <c r="F5" s="244"/>
      <c r="G5" s="205"/>
      <c r="H5" s="244"/>
      <c r="I5" s="205"/>
      <c r="J5" s="261"/>
      <c r="K5" s="65"/>
      <c r="L5" s="261"/>
      <c r="M5" s="13"/>
      <c r="N5" s="13"/>
      <c r="O5" s="274"/>
    </row>
    <row r="6" spans="1:18" ht="20.25" x14ac:dyDescent="0.2">
      <c r="A6" s="68"/>
      <c r="B6" s="66"/>
      <c r="C6" s="66"/>
      <c r="D6" s="66"/>
      <c r="E6" s="66"/>
      <c r="F6" s="245"/>
      <c r="G6" s="66"/>
      <c r="H6" s="245"/>
      <c r="I6" s="66"/>
      <c r="J6" s="261"/>
      <c r="K6" s="65"/>
      <c r="L6" s="261"/>
      <c r="M6" s="13"/>
      <c r="N6" s="13"/>
      <c r="O6" s="274"/>
    </row>
    <row r="7" spans="1:18" ht="16.5" thickBot="1" x14ac:dyDescent="0.25">
      <c r="A7" s="14" t="s">
        <v>111</v>
      </c>
      <c r="B7" s="15"/>
      <c r="C7" s="15"/>
      <c r="D7" s="15"/>
      <c r="E7" s="15"/>
      <c r="F7" s="246"/>
      <c r="G7" s="15"/>
      <c r="H7" s="246"/>
      <c r="I7" s="15"/>
      <c r="J7" s="246"/>
      <c r="K7" s="15"/>
      <c r="L7" s="246"/>
      <c r="M7" s="13"/>
      <c r="N7" s="13"/>
      <c r="O7" s="274"/>
    </row>
    <row r="8" spans="1:18" ht="15.75" thickBot="1" x14ac:dyDescent="0.25">
      <c r="A8" s="793" t="s">
        <v>24</v>
      </c>
      <c r="B8" s="794"/>
      <c r="C8" s="794"/>
      <c r="D8" s="795"/>
      <c r="E8" s="803" t="s">
        <v>103</v>
      </c>
      <c r="F8" s="803"/>
      <c r="G8" s="803"/>
      <c r="H8" s="803"/>
      <c r="I8" s="803"/>
      <c r="J8" s="803"/>
      <c r="K8" s="803"/>
      <c r="L8" s="803"/>
      <c r="M8" s="803"/>
      <c r="N8" s="803"/>
      <c r="O8" s="804"/>
    </row>
    <row r="9" spans="1:18" ht="17.25" thickTop="1" thickBot="1" x14ac:dyDescent="0.3">
      <c r="A9" s="796"/>
      <c r="B9" s="797"/>
      <c r="C9" s="797"/>
      <c r="D9" s="798"/>
      <c r="E9" s="807" t="s">
        <v>0</v>
      </c>
      <c r="F9" s="807"/>
      <c r="G9" s="807"/>
      <c r="H9" s="807"/>
      <c r="I9" s="823" t="s">
        <v>8</v>
      </c>
      <c r="J9" s="807"/>
      <c r="K9" s="807"/>
      <c r="L9" s="807"/>
      <c r="M9" s="807"/>
      <c r="N9" s="807"/>
      <c r="O9" s="824"/>
    </row>
    <row r="10" spans="1:18" ht="16.5" thickTop="1" x14ac:dyDescent="0.25">
      <c r="A10" s="796"/>
      <c r="B10" s="797"/>
      <c r="C10" s="797"/>
      <c r="D10" s="798"/>
      <c r="E10" s="825" t="s">
        <v>52</v>
      </c>
      <c r="F10" s="816"/>
      <c r="G10" s="825" t="s">
        <v>51</v>
      </c>
      <c r="H10" s="826"/>
      <c r="I10" s="827" t="s">
        <v>52</v>
      </c>
      <c r="J10" s="828"/>
      <c r="K10" s="787" t="s">
        <v>51</v>
      </c>
      <c r="L10" s="788"/>
      <c r="M10" s="788"/>
      <c r="N10" s="788"/>
      <c r="O10" s="789"/>
    </row>
    <row r="11" spans="1:18" ht="16.5" thickBot="1" x14ac:dyDescent="0.25">
      <c r="A11" s="799"/>
      <c r="B11" s="800"/>
      <c r="C11" s="800"/>
      <c r="D11" s="801"/>
      <c r="E11" s="18" t="s">
        <v>1</v>
      </c>
      <c r="F11" s="262" t="s">
        <v>2</v>
      </c>
      <c r="G11" s="18" t="s">
        <v>1</v>
      </c>
      <c r="H11" s="247" t="s">
        <v>2</v>
      </c>
      <c r="I11" s="18" t="s">
        <v>1</v>
      </c>
      <c r="J11" s="262" t="s">
        <v>2</v>
      </c>
      <c r="K11" s="18" t="s">
        <v>1</v>
      </c>
      <c r="L11" s="247" t="s">
        <v>2</v>
      </c>
      <c r="M11" s="20" t="s">
        <v>1</v>
      </c>
      <c r="N11" s="84" t="s">
        <v>1</v>
      </c>
      <c r="O11" s="308" t="s">
        <v>2</v>
      </c>
    </row>
    <row r="12" spans="1:18" ht="17.25" thickTop="1" thickBot="1" x14ac:dyDescent="0.3">
      <c r="A12" s="309" t="s">
        <v>4</v>
      </c>
      <c r="B12" s="75" t="s">
        <v>21</v>
      </c>
      <c r="C12" s="76" t="s">
        <v>22</v>
      </c>
      <c r="D12" s="77" t="s">
        <v>23</v>
      </c>
      <c r="E12" s="790" t="s">
        <v>9</v>
      </c>
      <c r="F12" s="791"/>
      <c r="G12" s="791"/>
      <c r="H12" s="791"/>
      <c r="I12" s="791"/>
      <c r="J12" s="791"/>
      <c r="K12" s="791"/>
      <c r="L12" s="792"/>
      <c r="M12" s="7" t="s">
        <v>6</v>
      </c>
      <c r="N12" s="199" t="s">
        <v>7</v>
      </c>
      <c r="O12" s="310"/>
    </row>
    <row r="13" spans="1:18" ht="16.5" thickBot="1" x14ac:dyDescent="0.3">
      <c r="A13" s="216">
        <v>1</v>
      </c>
      <c r="B13" s="23">
        <v>60</v>
      </c>
      <c r="C13" s="24">
        <v>240</v>
      </c>
      <c r="D13" s="25">
        <v>590</v>
      </c>
      <c r="E13" s="27" t="s">
        <v>3</v>
      </c>
      <c r="F13" s="28" t="s">
        <v>3</v>
      </c>
      <c r="G13" s="27">
        <f>H13/O78</f>
        <v>2.033984706881903</v>
      </c>
      <c r="H13" s="39">
        <f>285*80/100*1.05</f>
        <v>239.4</v>
      </c>
      <c r="I13" s="27">
        <f>J13/O78</f>
        <v>2.0696686491079017</v>
      </c>
      <c r="J13" s="88">
        <f>290*80/100*1.05</f>
        <v>243.60000000000002</v>
      </c>
      <c r="K13" s="27">
        <f>L13/O78</f>
        <v>2.1053525913339</v>
      </c>
      <c r="L13" s="26">
        <f>295*80/100*1.05</f>
        <v>247.8</v>
      </c>
      <c r="M13" s="27" t="s">
        <v>3</v>
      </c>
      <c r="N13" s="238" t="s">
        <v>3</v>
      </c>
      <c r="O13" s="311" t="s">
        <v>3</v>
      </c>
      <c r="R13" s="95"/>
    </row>
    <row r="14" spans="1:18" ht="16.5" thickBot="1" x14ac:dyDescent="0.3">
      <c r="A14" s="217">
        <v>2</v>
      </c>
      <c r="B14" s="30">
        <v>80</v>
      </c>
      <c r="C14" s="31">
        <v>240</v>
      </c>
      <c r="D14" s="33">
        <v>590</v>
      </c>
      <c r="E14" s="36" t="s">
        <v>3</v>
      </c>
      <c r="F14" s="39" t="s">
        <v>3</v>
      </c>
      <c r="G14" s="36">
        <f>H14/O79</f>
        <v>2.7121332275971453</v>
      </c>
      <c r="H14" s="39">
        <f>285*80/100*1.05</f>
        <v>239.4</v>
      </c>
      <c r="I14" s="36">
        <f>J14/O79</f>
        <v>2.7597145122918323</v>
      </c>
      <c r="J14" s="88">
        <f>290*80/100*1.05</f>
        <v>243.60000000000002</v>
      </c>
      <c r="K14" s="36">
        <f>L14/O79</f>
        <v>2.8072957969865189</v>
      </c>
      <c r="L14" s="26">
        <f>295*80/100*1.05</f>
        <v>247.8</v>
      </c>
      <c r="M14" s="36" t="s">
        <v>3</v>
      </c>
      <c r="N14" s="88" t="s">
        <v>3</v>
      </c>
      <c r="O14" s="312" t="s">
        <v>3</v>
      </c>
      <c r="R14" s="95"/>
    </row>
    <row r="15" spans="1:18" ht="15.75" x14ac:dyDescent="0.25">
      <c r="A15" s="217">
        <v>3</v>
      </c>
      <c r="B15" s="30">
        <v>100</v>
      </c>
      <c r="C15" s="31">
        <v>240</v>
      </c>
      <c r="D15" s="33">
        <v>590</v>
      </c>
      <c r="E15" s="241">
        <f>F15/O80</f>
        <v>3.3399602385685885</v>
      </c>
      <c r="F15" s="39">
        <f>280*80/100*1.05</f>
        <v>235.20000000000002</v>
      </c>
      <c r="G15" s="241">
        <f>H15/O80</f>
        <v>3.3996023856858848</v>
      </c>
      <c r="H15" s="88">
        <f>285*80/100*1.05</f>
        <v>239.4</v>
      </c>
      <c r="I15" s="241">
        <f>J15/O80</f>
        <v>3.4592445328031811</v>
      </c>
      <c r="J15" s="88">
        <f>290*80/100*1.05</f>
        <v>243.60000000000002</v>
      </c>
      <c r="K15" s="241">
        <f>L15/O80</f>
        <v>3.5188866799204774</v>
      </c>
      <c r="L15" s="26">
        <f>295*80/100*1.05</f>
        <v>247.8</v>
      </c>
      <c r="M15" s="38" t="s">
        <v>3</v>
      </c>
      <c r="N15" s="88" t="s">
        <v>3</v>
      </c>
      <c r="O15" s="313" t="s">
        <v>3</v>
      </c>
      <c r="R15" s="95"/>
    </row>
    <row r="16" spans="1:18" s="1" customFormat="1" ht="15.75" x14ac:dyDescent="0.25">
      <c r="A16" s="314">
        <v>4</v>
      </c>
      <c r="B16" s="70">
        <v>120</v>
      </c>
      <c r="C16" s="71">
        <v>240</v>
      </c>
      <c r="D16" s="73">
        <v>590</v>
      </c>
      <c r="E16" s="242">
        <f>F16/O81</f>
        <v>3.2543755310110449</v>
      </c>
      <c r="F16" s="248">
        <f t="shared" ref="F16:F21" si="0">228*80/100*1.05</f>
        <v>191.52</v>
      </c>
      <c r="G16" s="242">
        <f>H16/O81</f>
        <v>3.3257434154630419</v>
      </c>
      <c r="H16" s="248">
        <f t="shared" ref="H16:H21" si="1">233*80/100*1.05</f>
        <v>195.72000000000003</v>
      </c>
      <c r="I16" s="242">
        <f>J16/O81</f>
        <v>3.3828377230246391</v>
      </c>
      <c r="J16" s="248">
        <f t="shared" ref="J16:J21" si="2">237*80/100*1.05</f>
        <v>199.08</v>
      </c>
      <c r="K16" s="242">
        <f>L16/O81</f>
        <v>3.4542056074766356</v>
      </c>
      <c r="L16" s="269">
        <f t="shared" ref="L16:L21" si="3">242*80/100*1.05</f>
        <v>203.28</v>
      </c>
      <c r="M16" s="214" t="s">
        <v>3</v>
      </c>
      <c r="N16" s="239" t="s">
        <v>3</v>
      </c>
      <c r="O16" s="315" t="s">
        <v>3</v>
      </c>
      <c r="R16" s="240"/>
    </row>
    <row r="17" spans="1:18" ht="15.75" x14ac:dyDescent="0.25">
      <c r="A17" s="217">
        <v>5</v>
      </c>
      <c r="B17" s="30">
        <v>180</v>
      </c>
      <c r="C17" s="31">
        <v>240</v>
      </c>
      <c r="D17" s="33">
        <v>590</v>
      </c>
      <c r="E17" s="36">
        <f>F17/O83</f>
        <v>4.8819780780015298</v>
      </c>
      <c r="F17" s="248">
        <f t="shared" si="0"/>
        <v>191.52</v>
      </c>
      <c r="G17" s="36">
        <f>H17/O83</f>
        <v>4.9890390007647216</v>
      </c>
      <c r="H17" s="248">
        <f t="shared" si="1"/>
        <v>195.72000000000003</v>
      </c>
      <c r="I17" s="36">
        <f>J17/O83</f>
        <v>5.0746877389752747</v>
      </c>
      <c r="J17" s="39">
        <f t="shared" si="2"/>
        <v>199.08</v>
      </c>
      <c r="K17" s="36">
        <f>L17/O83</f>
        <v>5.1817486617384656</v>
      </c>
      <c r="L17" s="269">
        <f t="shared" si="3"/>
        <v>203.28</v>
      </c>
      <c r="M17" s="36">
        <f>O17/O83</f>
        <v>5.8241141983176146</v>
      </c>
      <c r="N17" s="88">
        <f>O17/O83</f>
        <v>5.8241141983176146</v>
      </c>
      <c r="O17" s="88">
        <f>272*80/100*1.05</f>
        <v>228.48</v>
      </c>
      <c r="R17" s="95"/>
    </row>
    <row r="18" spans="1:18" s="1" customFormat="1" ht="15.75" x14ac:dyDescent="0.25">
      <c r="A18" s="314">
        <v>6</v>
      </c>
      <c r="B18" s="70">
        <v>240</v>
      </c>
      <c r="C18" s="71">
        <v>240</v>
      </c>
      <c r="D18" s="73">
        <v>590</v>
      </c>
      <c r="E18" s="215">
        <f>F18/O84</f>
        <v>6.5098572399728072</v>
      </c>
      <c r="F18" s="248">
        <f t="shared" si="0"/>
        <v>191.52</v>
      </c>
      <c r="G18" s="215">
        <f>H18/O84</f>
        <v>6.6526172671651942</v>
      </c>
      <c r="H18" s="248">
        <f t="shared" si="1"/>
        <v>195.72000000000003</v>
      </c>
      <c r="I18" s="215">
        <f>J18/O84</f>
        <v>6.7668252889191027</v>
      </c>
      <c r="J18" s="39">
        <f t="shared" si="2"/>
        <v>199.08</v>
      </c>
      <c r="K18" s="215">
        <f>L18/O84</f>
        <v>6.9095853161114889</v>
      </c>
      <c r="L18" s="269">
        <f t="shared" si="3"/>
        <v>203.28</v>
      </c>
      <c r="M18" s="215">
        <f>O18/O84</f>
        <v>7.7661454792658047</v>
      </c>
      <c r="N18" s="239">
        <f>O18/O84</f>
        <v>7.7661454792658047</v>
      </c>
      <c r="O18" s="88">
        <f>272*80/100*1.05</f>
        <v>228.48</v>
      </c>
      <c r="R18" s="240"/>
    </row>
    <row r="19" spans="1:18" ht="15.75" x14ac:dyDescent="0.25">
      <c r="A19" s="217">
        <v>7</v>
      </c>
      <c r="B19" s="30">
        <v>300</v>
      </c>
      <c r="C19" s="31">
        <v>240</v>
      </c>
      <c r="D19" s="33">
        <v>590</v>
      </c>
      <c r="E19" s="36">
        <f>F19/O85</f>
        <v>8.1359388275276139</v>
      </c>
      <c r="F19" s="248">
        <f t="shared" si="0"/>
        <v>191.52</v>
      </c>
      <c r="G19" s="36">
        <f>H19/O85</f>
        <v>8.314358538657606</v>
      </c>
      <c r="H19" s="248">
        <f t="shared" si="1"/>
        <v>195.72000000000003</v>
      </c>
      <c r="I19" s="36">
        <f>J19/O85</f>
        <v>8.457094307561599</v>
      </c>
      <c r="J19" s="39">
        <f t="shared" si="2"/>
        <v>199.08</v>
      </c>
      <c r="K19" s="36">
        <f>L19/O85</f>
        <v>8.6355140186915893</v>
      </c>
      <c r="L19" s="269">
        <f t="shared" si="3"/>
        <v>203.28</v>
      </c>
      <c r="M19" s="36">
        <f>O19/O85</f>
        <v>9.7060322854715384</v>
      </c>
      <c r="N19" s="88">
        <f>O19/O85</f>
        <v>9.7060322854715384</v>
      </c>
      <c r="O19" s="88">
        <f>272*80/100*1.05</f>
        <v>228.48</v>
      </c>
      <c r="R19" s="95"/>
    </row>
    <row r="20" spans="1:18" ht="15.75" x14ac:dyDescent="0.25">
      <c r="A20" s="217">
        <v>8</v>
      </c>
      <c r="B20" s="30">
        <v>360</v>
      </c>
      <c r="C20" s="31">
        <v>240</v>
      </c>
      <c r="D20" s="33">
        <v>590</v>
      </c>
      <c r="E20" s="36">
        <f>F20/O86</f>
        <v>9.7664456909739936</v>
      </c>
      <c r="F20" s="248">
        <f t="shared" si="0"/>
        <v>191.52</v>
      </c>
      <c r="G20" s="36">
        <f>H20/O86</f>
        <v>9.9806221315655304</v>
      </c>
      <c r="H20" s="248">
        <f t="shared" si="1"/>
        <v>195.72000000000003</v>
      </c>
      <c r="I20" s="36">
        <f>J20/O86</f>
        <v>10.151963284038757</v>
      </c>
      <c r="J20" s="39">
        <f t="shared" si="2"/>
        <v>199.08</v>
      </c>
      <c r="K20" s="36">
        <f>L20/O86</f>
        <v>10.36613972463029</v>
      </c>
      <c r="L20" s="269">
        <f t="shared" si="3"/>
        <v>203.28</v>
      </c>
      <c r="M20" s="36">
        <f>O20/O86</f>
        <v>11.6511983681795</v>
      </c>
      <c r="N20" s="88">
        <f>O20/O86</f>
        <v>11.6511983681795</v>
      </c>
      <c r="O20" s="88">
        <f>272*80/100*1.05</f>
        <v>228.48</v>
      </c>
    </row>
    <row r="21" spans="1:18" ht="16.5" thickBot="1" x14ac:dyDescent="0.3">
      <c r="A21" s="218">
        <v>9</v>
      </c>
      <c r="B21" s="316">
        <v>420</v>
      </c>
      <c r="C21" s="167">
        <v>240</v>
      </c>
      <c r="D21" s="317">
        <v>590</v>
      </c>
      <c r="E21" s="318">
        <f>F21/O87</f>
        <v>11.393218322427128</v>
      </c>
      <c r="F21" s="319">
        <f t="shared" si="0"/>
        <v>191.52</v>
      </c>
      <c r="G21" s="318">
        <f>H21/O87</f>
        <v>11.643069601427724</v>
      </c>
      <c r="H21" s="319">
        <f t="shared" si="1"/>
        <v>195.72000000000003</v>
      </c>
      <c r="I21" s="318">
        <f>J21/O87</f>
        <v>11.8429506246282</v>
      </c>
      <c r="J21" s="320">
        <f t="shared" si="2"/>
        <v>199.08</v>
      </c>
      <c r="K21" s="318">
        <f>L21/O87</f>
        <v>12.092801903628793</v>
      </c>
      <c r="L21" s="321">
        <f t="shared" si="3"/>
        <v>203.28</v>
      </c>
      <c r="M21" s="318">
        <f>O21/O87</f>
        <v>13.591909577632363</v>
      </c>
      <c r="N21" s="318">
        <f>O21/O87</f>
        <v>13.591909577632363</v>
      </c>
      <c r="O21" s="322">
        <f>272*80/100*1.05</f>
        <v>228.48</v>
      </c>
    </row>
    <row r="22" spans="1:18" ht="15" x14ac:dyDescent="0.2">
      <c r="A22" s="786" t="s">
        <v>53</v>
      </c>
      <c r="B22" s="786"/>
      <c r="C22" s="786"/>
      <c r="D22" s="786"/>
      <c r="E22" s="786"/>
      <c r="F22" s="786"/>
      <c r="G22" s="786"/>
      <c r="H22" s="786"/>
      <c r="I22" s="786"/>
      <c r="J22" s="243"/>
      <c r="K22" s="12"/>
      <c r="L22" s="95"/>
      <c r="M22" s="12"/>
      <c r="N22" s="12"/>
      <c r="O22" s="95"/>
    </row>
    <row r="23" spans="1:18" ht="15" x14ac:dyDescent="0.2">
      <c r="A23" s="210"/>
      <c r="B23" s="210"/>
      <c r="C23" s="210"/>
      <c r="D23" s="210"/>
      <c r="E23" s="210"/>
      <c r="F23" s="249"/>
      <c r="G23" s="210"/>
      <c r="H23" s="249"/>
      <c r="I23" s="210"/>
      <c r="J23" s="243"/>
      <c r="K23" s="12"/>
      <c r="L23" s="95"/>
      <c r="M23" s="12"/>
      <c r="N23" s="12"/>
      <c r="O23" s="95"/>
    </row>
    <row r="24" spans="1:18" ht="15" x14ac:dyDescent="0.2">
      <c r="A24" s="67" t="s">
        <v>109</v>
      </c>
      <c r="B24" s="11"/>
      <c r="C24" s="11"/>
      <c r="D24" s="11"/>
      <c r="E24" s="12"/>
      <c r="F24" s="95"/>
      <c r="G24" s="12"/>
      <c r="H24" s="95"/>
      <c r="I24" s="12"/>
      <c r="J24" s="243"/>
      <c r="K24" s="12"/>
      <c r="L24" s="95"/>
      <c r="M24" s="12"/>
      <c r="N24" s="12"/>
      <c r="O24" s="95"/>
    </row>
    <row r="25" spans="1:18" ht="15" x14ac:dyDescent="0.2">
      <c r="A25" s="67" t="s">
        <v>106</v>
      </c>
      <c r="B25" s="11"/>
      <c r="C25" s="11"/>
      <c r="D25" s="11"/>
      <c r="E25" s="12"/>
      <c r="F25" s="95"/>
      <c r="G25" s="12"/>
      <c r="H25" s="95"/>
      <c r="I25" s="12"/>
      <c r="J25" s="243"/>
      <c r="K25" s="12"/>
      <c r="L25" s="95"/>
      <c r="M25" s="12"/>
      <c r="N25" s="12"/>
      <c r="O25" s="95"/>
    </row>
    <row r="26" spans="1:18" ht="15" x14ac:dyDescent="0.2">
      <c r="B26" s="11"/>
      <c r="C26" s="11"/>
      <c r="D26" s="11"/>
      <c r="E26" s="12"/>
      <c r="F26" s="95"/>
      <c r="G26" s="12"/>
      <c r="H26" s="95"/>
      <c r="I26" s="12"/>
      <c r="J26" s="243"/>
      <c r="K26" s="12"/>
      <c r="L26" s="95"/>
      <c r="M26" s="12"/>
      <c r="N26" s="12"/>
      <c r="O26" s="95"/>
    </row>
    <row r="27" spans="1:18" ht="15" x14ac:dyDescent="0.2">
      <c r="A27" s="67" t="s">
        <v>107</v>
      </c>
      <c r="B27" s="11"/>
      <c r="C27" s="11"/>
      <c r="D27" s="11"/>
      <c r="E27" s="12"/>
      <c r="F27" s="95"/>
      <c r="G27" s="12"/>
      <c r="H27" s="95"/>
      <c r="I27" s="12"/>
      <c r="J27" s="243"/>
      <c r="K27" s="12"/>
      <c r="L27" s="95"/>
      <c r="M27" s="12"/>
      <c r="N27" s="12"/>
      <c r="O27" s="95"/>
    </row>
    <row r="28" spans="1:18" ht="15" x14ac:dyDescent="0.2">
      <c r="A28" s="67" t="s">
        <v>108</v>
      </c>
      <c r="B28" s="11"/>
      <c r="C28" s="11"/>
      <c r="D28" s="11"/>
      <c r="E28" s="12"/>
      <c r="F28" s="95"/>
      <c r="G28" s="12"/>
      <c r="H28" s="95"/>
      <c r="I28" s="12"/>
      <c r="J28" s="243"/>
      <c r="K28" s="12"/>
      <c r="L28" s="95"/>
      <c r="M28" s="12"/>
      <c r="N28" s="12"/>
      <c r="O28" s="95"/>
    </row>
    <row r="29" spans="1:18" ht="15" x14ac:dyDescent="0.2">
      <c r="B29" s="11"/>
      <c r="C29" s="11"/>
      <c r="D29" s="11"/>
      <c r="E29" s="12"/>
      <c r="F29" s="95"/>
      <c r="G29" s="12"/>
      <c r="H29" s="95"/>
      <c r="I29" s="12"/>
      <c r="J29" s="243"/>
      <c r="K29" s="12"/>
      <c r="L29" s="95"/>
      <c r="M29" s="12"/>
      <c r="N29" s="12"/>
      <c r="O29" s="95"/>
    </row>
    <row r="30" spans="1:18" ht="28.5" customHeight="1" x14ac:dyDescent="0.2">
      <c r="B30" s="11"/>
      <c r="C30" s="11"/>
      <c r="D30" s="11"/>
      <c r="E30" s="12"/>
      <c r="F30" s="95"/>
      <c r="G30" s="12"/>
      <c r="H30" s="95"/>
      <c r="I30" s="12"/>
      <c r="J30" s="243"/>
      <c r="K30" s="12"/>
      <c r="L30" s="95"/>
      <c r="M30" s="12"/>
      <c r="N30" s="12"/>
      <c r="O30" s="95"/>
    </row>
    <row r="31" spans="1:18" ht="15" hidden="1" x14ac:dyDescent="0.2">
      <c r="B31" s="11"/>
      <c r="C31" s="11"/>
      <c r="D31" s="11"/>
      <c r="E31" s="80"/>
      <c r="F31" s="95"/>
      <c r="G31" s="12"/>
      <c r="H31" s="95"/>
      <c r="I31" s="12"/>
      <c r="J31" s="243"/>
      <c r="K31" s="12"/>
      <c r="L31" s="95"/>
      <c r="M31" s="12"/>
      <c r="N31" s="81"/>
      <c r="O31" s="95"/>
    </row>
    <row r="32" spans="1:18" ht="15" hidden="1" x14ac:dyDescent="0.2">
      <c r="B32" s="11"/>
      <c r="C32" s="11"/>
      <c r="D32" s="11"/>
      <c r="E32" s="80"/>
      <c r="F32" s="95"/>
      <c r="G32" s="12"/>
      <c r="H32" s="95"/>
      <c r="I32" s="12"/>
      <c r="J32" s="243"/>
      <c r="K32" s="12"/>
      <c r="L32" s="95"/>
      <c r="M32" s="12"/>
      <c r="N32" s="81"/>
      <c r="O32" s="95"/>
    </row>
    <row r="33" spans="1:15" ht="15" hidden="1" x14ac:dyDescent="0.2">
      <c r="B33" s="11"/>
      <c r="C33" s="11"/>
      <c r="D33" s="11"/>
      <c r="E33" s="80"/>
      <c r="F33" s="95"/>
      <c r="G33" s="12"/>
      <c r="H33" s="95"/>
      <c r="I33" s="12"/>
      <c r="J33" s="243"/>
      <c r="K33" s="12"/>
      <c r="L33" s="95"/>
      <c r="M33" s="12"/>
      <c r="N33" s="81"/>
      <c r="O33" s="95"/>
    </row>
    <row r="34" spans="1:15" ht="15" hidden="1" x14ac:dyDescent="0.2">
      <c r="B34" s="11"/>
      <c r="C34" s="11"/>
      <c r="D34" s="11"/>
      <c r="E34" s="80"/>
      <c r="F34" s="95"/>
      <c r="G34" s="12"/>
      <c r="H34" s="95"/>
      <c r="I34" s="12"/>
      <c r="J34" s="243"/>
      <c r="K34" s="12"/>
      <c r="L34" s="95"/>
      <c r="M34" s="12"/>
      <c r="N34" s="81"/>
      <c r="O34" s="95"/>
    </row>
    <row r="35" spans="1:15" ht="15" hidden="1" x14ac:dyDescent="0.2">
      <c r="B35" s="11"/>
      <c r="C35" s="11"/>
      <c r="D35" s="11"/>
      <c r="E35" s="80"/>
      <c r="F35" s="95"/>
      <c r="G35" s="12"/>
      <c r="H35" s="95"/>
      <c r="I35" s="12"/>
      <c r="J35" s="243"/>
      <c r="K35" s="12"/>
      <c r="L35" s="95"/>
      <c r="M35" s="12"/>
      <c r="N35" s="81"/>
      <c r="O35" s="95"/>
    </row>
    <row r="36" spans="1:15" ht="15" hidden="1" x14ac:dyDescent="0.2">
      <c r="B36" s="11"/>
      <c r="C36" s="11"/>
      <c r="D36" s="11"/>
      <c r="E36" s="80"/>
      <c r="F36" s="95"/>
      <c r="G36" s="12"/>
      <c r="H36" s="95"/>
      <c r="I36" s="12"/>
      <c r="J36" s="243"/>
      <c r="K36" s="12"/>
      <c r="L36" s="95"/>
      <c r="M36" s="12"/>
      <c r="N36" s="81"/>
      <c r="O36" s="95"/>
    </row>
    <row r="37" spans="1:15" ht="16.5" thickBot="1" x14ac:dyDescent="0.3">
      <c r="A37" s="53" t="s">
        <v>55</v>
      </c>
      <c r="B37" s="53"/>
      <c r="C37" s="53"/>
      <c r="D37" s="53"/>
      <c r="E37" s="323"/>
      <c r="F37" s="324"/>
      <c r="G37" s="12"/>
      <c r="H37" s="95"/>
      <c r="I37" s="12"/>
      <c r="J37" s="243"/>
      <c r="K37" s="12"/>
      <c r="L37" s="95"/>
      <c r="M37" s="12"/>
      <c r="N37" s="12"/>
      <c r="O37" s="95"/>
    </row>
    <row r="38" spans="1:15" ht="15.75" thickBot="1" x14ac:dyDescent="0.25">
      <c r="A38" s="793" t="s">
        <v>24</v>
      </c>
      <c r="B38" s="794"/>
      <c r="C38" s="794"/>
      <c r="D38" s="795"/>
      <c r="E38" s="802" t="s">
        <v>11</v>
      </c>
      <c r="F38" s="803"/>
      <c r="G38" s="803"/>
      <c r="H38" s="803"/>
      <c r="I38" s="803"/>
      <c r="J38" s="803"/>
      <c r="K38" s="803"/>
      <c r="L38" s="803"/>
      <c r="M38" s="803"/>
      <c r="N38" s="804"/>
      <c r="O38" s="243"/>
    </row>
    <row r="39" spans="1:15" ht="17.25" thickTop="1" thickBot="1" x14ac:dyDescent="0.3">
      <c r="A39" s="796"/>
      <c r="B39" s="797"/>
      <c r="C39" s="797"/>
      <c r="D39" s="798"/>
      <c r="E39" s="805" t="s">
        <v>0</v>
      </c>
      <c r="F39" s="806"/>
      <c r="G39" s="807" t="s">
        <v>8</v>
      </c>
      <c r="H39" s="808"/>
      <c r="I39" s="124"/>
      <c r="J39" s="263"/>
      <c r="K39" s="54" t="s">
        <v>8</v>
      </c>
      <c r="L39" s="263"/>
      <c r="M39" s="54"/>
      <c r="N39" s="325"/>
      <c r="O39" s="243"/>
    </row>
    <row r="40" spans="1:15" ht="16.5" thickTop="1" x14ac:dyDescent="0.25">
      <c r="A40" s="796"/>
      <c r="B40" s="797"/>
      <c r="C40" s="797"/>
      <c r="D40" s="798"/>
      <c r="E40" s="809" t="s">
        <v>29</v>
      </c>
      <c r="F40" s="816"/>
      <c r="G40" s="817" t="s">
        <v>30</v>
      </c>
      <c r="H40" s="818"/>
      <c r="I40" s="809" t="s">
        <v>31</v>
      </c>
      <c r="J40" s="810"/>
      <c r="K40" s="811" t="s">
        <v>32</v>
      </c>
      <c r="L40" s="788"/>
      <c r="M40" s="788"/>
      <c r="N40" s="789"/>
      <c r="O40" s="243"/>
    </row>
    <row r="41" spans="1:15" ht="16.5" thickBot="1" x14ac:dyDescent="0.25">
      <c r="A41" s="799"/>
      <c r="B41" s="800"/>
      <c r="C41" s="800"/>
      <c r="D41" s="801"/>
      <c r="E41" s="16" t="s">
        <v>1</v>
      </c>
      <c r="F41" s="262" t="s">
        <v>2</v>
      </c>
      <c r="G41" s="18" t="s">
        <v>1</v>
      </c>
      <c r="H41" s="247" t="s">
        <v>2</v>
      </c>
      <c r="I41" s="18" t="s">
        <v>1</v>
      </c>
      <c r="J41" s="262" t="s">
        <v>2</v>
      </c>
      <c r="K41" s="18" t="s">
        <v>1</v>
      </c>
      <c r="L41" s="262" t="s">
        <v>2</v>
      </c>
      <c r="M41" s="20" t="s">
        <v>1</v>
      </c>
      <c r="N41" s="82" t="s">
        <v>2</v>
      </c>
      <c r="O41" s="243"/>
    </row>
    <row r="42" spans="1:15" ht="17.25" thickTop="1" thickBot="1" x14ac:dyDescent="0.3">
      <c r="A42" s="326" t="s">
        <v>4</v>
      </c>
      <c r="B42" s="75" t="s">
        <v>21</v>
      </c>
      <c r="C42" s="76" t="s">
        <v>22</v>
      </c>
      <c r="D42" s="77" t="s">
        <v>23</v>
      </c>
      <c r="E42" s="812" t="s">
        <v>9</v>
      </c>
      <c r="F42" s="813"/>
      <c r="G42" s="813"/>
      <c r="H42" s="813"/>
      <c r="I42" s="813"/>
      <c r="J42" s="814"/>
      <c r="K42" s="815" t="s">
        <v>13</v>
      </c>
      <c r="L42" s="814"/>
      <c r="M42" s="200" t="s">
        <v>7</v>
      </c>
      <c r="N42" s="327"/>
      <c r="O42" s="243"/>
    </row>
    <row r="43" spans="1:15" ht="15.75" x14ac:dyDescent="0.25">
      <c r="A43" s="217">
        <v>1</v>
      </c>
      <c r="B43" s="23">
        <v>60</v>
      </c>
      <c r="C43" s="24">
        <v>240</v>
      </c>
      <c r="D43" s="25">
        <v>590</v>
      </c>
      <c r="E43" s="227" t="s">
        <v>3</v>
      </c>
      <c r="F43" s="276" t="s">
        <v>3</v>
      </c>
      <c r="G43" s="228" t="s">
        <v>3</v>
      </c>
      <c r="H43" s="250" t="s">
        <v>3</v>
      </c>
      <c r="I43" s="214">
        <f t="shared" ref="I43:I48" si="4">J43/O78</f>
        <v>1.998300764655905</v>
      </c>
      <c r="J43" s="264">
        <f>280*80/100*1.05</f>
        <v>235.20000000000002</v>
      </c>
      <c r="K43" s="213" t="s">
        <v>3</v>
      </c>
      <c r="L43" s="270" t="s">
        <v>3</v>
      </c>
      <c r="M43" s="213" t="s">
        <v>3</v>
      </c>
      <c r="N43" s="229" t="s">
        <v>3</v>
      </c>
      <c r="O43" s="243"/>
    </row>
    <row r="44" spans="1:15" ht="15.75" x14ac:dyDescent="0.25">
      <c r="A44" s="217">
        <v>2</v>
      </c>
      <c r="B44" s="30">
        <v>80</v>
      </c>
      <c r="C44" s="31">
        <v>240</v>
      </c>
      <c r="D44" s="32">
        <v>590</v>
      </c>
      <c r="E44" s="227" t="s">
        <v>3</v>
      </c>
      <c r="F44" s="272" t="s">
        <v>3</v>
      </c>
      <c r="G44" s="230" t="s">
        <v>3</v>
      </c>
      <c r="H44" s="251" t="s">
        <v>3</v>
      </c>
      <c r="I44" s="214">
        <f t="shared" si="4"/>
        <v>2.6645519429024587</v>
      </c>
      <c r="J44" s="265">
        <f>280*80/100*1.05</f>
        <v>235.20000000000002</v>
      </c>
      <c r="K44" s="230" t="s">
        <v>3</v>
      </c>
      <c r="L44" s="271" t="s">
        <v>3</v>
      </c>
      <c r="M44" s="230" t="s">
        <v>3</v>
      </c>
      <c r="N44" s="232" t="s">
        <v>3</v>
      </c>
      <c r="O44" s="243"/>
    </row>
    <row r="45" spans="1:15" ht="15.75" x14ac:dyDescent="0.25">
      <c r="A45" s="217">
        <v>3</v>
      </c>
      <c r="B45" s="30">
        <v>100</v>
      </c>
      <c r="C45" s="31">
        <v>240</v>
      </c>
      <c r="D45" s="51">
        <v>590</v>
      </c>
      <c r="E45" s="175" t="s">
        <v>3</v>
      </c>
      <c r="F45" s="272" t="s">
        <v>3</v>
      </c>
      <c r="G45" s="176" t="s">
        <v>3</v>
      </c>
      <c r="H45" s="252" t="s">
        <v>3</v>
      </c>
      <c r="I45" s="214">
        <f t="shared" si="4"/>
        <v>3.3399602385685885</v>
      </c>
      <c r="J45" s="266">
        <f>280*80/100*1.05</f>
        <v>235.20000000000002</v>
      </c>
      <c r="K45" s="176" t="s">
        <v>3</v>
      </c>
      <c r="L45" s="272" t="s">
        <v>3</v>
      </c>
      <c r="M45" s="176" t="s">
        <v>3</v>
      </c>
      <c r="N45" s="233" t="s">
        <v>3</v>
      </c>
      <c r="O45" s="243"/>
    </row>
    <row r="46" spans="1:15" s="1" customFormat="1" ht="15.75" x14ac:dyDescent="0.25">
      <c r="A46" s="217">
        <v>4</v>
      </c>
      <c r="B46" s="70">
        <v>120</v>
      </c>
      <c r="C46" s="71">
        <v>240</v>
      </c>
      <c r="D46" s="72">
        <v>590</v>
      </c>
      <c r="E46" s="214">
        <f>F46/O81</f>
        <v>2.9403568394222601</v>
      </c>
      <c r="F46" s="265">
        <f>206*80/100*1.05</f>
        <v>173.04000000000002</v>
      </c>
      <c r="G46" s="215">
        <f>H46/O81</f>
        <v>3.0830926083262535</v>
      </c>
      <c r="H46" s="253">
        <f>216*80/100*1.05</f>
        <v>181.44000000000003</v>
      </c>
      <c r="I46" s="214">
        <f t="shared" si="4"/>
        <v>3.3685641461342395</v>
      </c>
      <c r="J46" s="265">
        <f>236*80/100*1.05</f>
        <v>198.24</v>
      </c>
      <c r="K46" s="177" t="s">
        <v>3</v>
      </c>
      <c r="L46" s="178" t="s">
        <v>3</v>
      </c>
      <c r="M46" s="177" t="s">
        <v>3</v>
      </c>
      <c r="N46" s="234" t="s">
        <v>3</v>
      </c>
      <c r="O46" s="275"/>
    </row>
    <row r="47" spans="1:15" ht="15.75" x14ac:dyDescent="0.25">
      <c r="A47" s="217">
        <v>5</v>
      </c>
      <c r="B47" s="30">
        <v>150</v>
      </c>
      <c r="C47" s="31">
        <v>240</v>
      </c>
      <c r="D47" s="51">
        <v>590</v>
      </c>
      <c r="E47" s="175" t="s">
        <v>3</v>
      </c>
      <c r="F47" s="265" t="s">
        <v>3</v>
      </c>
      <c r="G47" s="176" t="s">
        <v>3</v>
      </c>
      <c r="H47" s="254" t="s">
        <v>3</v>
      </c>
      <c r="I47" s="214">
        <f t="shared" si="4"/>
        <v>4.2026711893152431</v>
      </c>
      <c r="J47" s="267">
        <f>236*80/100*1.05</f>
        <v>198.24</v>
      </c>
      <c r="K47" s="3" t="s">
        <v>3</v>
      </c>
      <c r="L47" s="273" t="s">
        <v>3</v>
      </c>
      <c r="M47" s="3" t="s">
        <v>3</v>
      </c>
      <c r="N47" s="235" t="s">
        <v>3</v>
      </c>
      <c r="O47" s="243"/>
    </row>
    <row r="48" spans="1:15" ht="15.75" x14ac:dyDescent="0.25">
      <c r="A48" s="217">
        <v>6</v>
      </c>
      <c r="B48" s="30">
        <v>180</v>
      </c>
      <c r="C48" s="31">
        <v>240</v>
      </c>
      <c r="D48" s="51">
        <v>590</v>
      </c>
      <c r="E48" s="38">
        <f>F48/O83</f>
        <v>4.4109100178434879</v>
      </c>
      <c r="F48" s="265">
        <f>206*80/100*1.05</f>
        <v>173.04000000000002</v>
      </c>
      <c r="G48" s="36">
        <f>H48/O83</f>
        <v>4.6250318633698706</v>
      </c>
      <c r="H48" s="253">
        <f>216*80/100*1.05</f>
        <v>181.44000000000003</v>
      </c>
      <c r="I48" s="214">
        <f t="shared" si="4"/>
        <v>5.053275554422636</v>
      </c>
      <c r="J48" s="265">
        <f>236*80/100*1.05</f>
        <v>198.24</v>
      </c>
      <c r="K48" s="236" t="s">
        <v>3</v>
      </c>
      <c r="L48" s="265" t="s">
        <v>3</v>
      </c>
      <c r="M48" s="3" t="s">
        <v>3</v>
      </c>
      <c r="N48" s="237" t="s">
        <v>3</v>
      </c>
      <c r="O48" s="243"/>
    </row>
    <row r="49" spans="1:15" s="1" customFormat="1" ht="15.75" x14ac:dyDescent="0.25">
      <c r="A49" s="217">
        <v>7</v>
      </c>
      <c r="B49" s="70">
        <v>240</v>
      </c>
      <c r="C49" s="71">
        <v>240</v>
      </c>
      <c r="D49" s="72">
        <v>590</v>
      </c>
      <c r="E49" s="214">
        <f>F49/O84</f>
        <v>5.8817131203263093</v>
      </c>
      <c r="F49" s="265">
        <f>206*80/100*1.05</f>
        <v>173.04000000000002</v>
      </c>
      <c r="G49" s="215">
        <f>H49/O84</f>
        <v>6.1672331747110816</v>
      </c>
      <c r="H49" s="255">
        <f>216*80/100*1.05</f>
        <v>181.44000000000003</v>
      </c>
      <c r="I49" s="177" t="s">
        <v>3</v>
      </c>
      <c r="J49" s="178" t="s">
        <v>3</v>
      </c>
      <c r="K49" s="215">
        <f>L49/O84</f>
        <v>6.7382732834806252</v>
      </c>
      <c r="L49" s="267">
        <f>236*80/100*1.05</f>
        <v>198.24</v>
      </c>
      <c r="M49" s="215">
        <f>N49/O84</f>
        <v>7.5948334466349428</v>
      </c>
      <c r="N49" s="231">
        <f>266*80/100*1.05</f>
        <v>223.44000000000003</v>
      </c>
      <c r="O49" s="275"/>
    </row>
    <row r="50" spans="1:15" ht="15.75" x14ac:dyDescent="0.25">
      <c r="A50" s="217">
        <v>8</v>
      </c>
      <c r="B50" s="30">
        <v>300</v>
      </c>
      <c r="C50" s="31">
        <v>240</v>
      </c>
      <c r="D50" s="51">
        <v>590</v>
      </c>
      <c r="E50" s="38">
        <f>F50/O85</f>
        <v>7.3508920985556507</v>
      </c>
      <c r="F50" s="265">
        <f>206*80/100*1.05</f>
        <v>173.04000000000002</v>
      </c>
      <c r="G50" s="36">
        <f>H50/O85</f>
        <v>7.7077315208156341</v>
      </c>
      <c r="H50" s="255">
        <f>216*80/100*1.05</f>
        <v>181.44000000000003</v>
      </c>
      <c r="I50" s="3" t="s">
        <v>3</v>
      </c>
      <c r="J50" s="5" t="s">
        <v>3</v>
      </c>
      <c r="K50" s="36">
        <f>L50/O85</f>
        <v>8.4214103653355998</v>
      </c>
      <c r="L50" s="267">
        <f>236*80/100*1.05</f>
        <v>198.24</v>
      </c>
      <c r="M50" s="36">
        <f>N50/O85</f>
        <v>9.4919286321155489</v>
      </c>
      <c r="N50" s="231">
        <f>266*80/100*1.05</f>
        <v>223.44000000000003</v>
      </c>
      <c r="O50" s="243"/>
    </row>
    <row r="51" spans="1:15" ht="16.5" thickBot="1" x14ac:dyDescent="0.3">
      <c r="A51" s="328">
        <v>9</v>
      </c>
      <c r="B51" s="329">
        <v>360</v>
      </c>
      <c r="C51" s="167">
        <v>240</v>
      </c>
      <c r="D51" s="330">
        <v>590</v>
      </c>
      <c r="E51" s="331">
        <f>F51/O86</f>
        <v>8.8240693523712412</v>
      </c>
      <c r="F51" s="332">
        <f>206*80/100*1.05</f>
        <v>173.04000000000002</v>
      </c>
      <c r="G51" s="318">
        <f>H51/O86</f>
        <v>9.2524222335543111</v>
      </c>
      <c r="H51" s="333">
        <f>216*80/100*1.05</f>
        <v>181.44000000000003</v>
      </c>
      <c r="I51" s="334" t="s">
        <v>3</v>
      </c>
      <c r="J51" s="335" t="s">
        <v>3</v>
      </c>
      <c r="K51" s="318">
        <f>L51/O86</f>
        <v>10.109127995920449</v>
      </c>
      <c r="L51" s="336">
        <f>236*80/100*1.05</f>
        <v>198.24</v>
      </c>
      <c r="M51" s="318">
        <f>N51/O86</f>
        <v>11.394186639469661</v>
      </c>
      <c r="N51" s="337">
        <f>266*80/100*1.05</f>
        <v>223.44000000000003</v>
      </c>
      <c r="O51" s="243"/>
    </row>
    <row r="52" spans="1:15" ht="15" x14ac:dyDescent="0.2">
      <c r="A52" s="786" t="s">
        <v>53</v>
      </c>
      <c r="B52" s="786"/>
      <c r="C52" s="786"/>
      <c r="D52" s="786"/>
      <c r="E52" s="786"/>
      <c r="F52" s="786"/>
      <c r="G52" s="786"/>
      <c r="H52" s="786"/>
      <c r="I52" s="786"/>
      <c r="J52" s="243"/>
      <c r="K52" s="12"/>
      <c r="L52" s="95"/>
      <c r="M52" s="12"/>
      <c r="N52" s="12"/>
      <c r="O52" s="95"/>
    </row>
    <row r="53" spans="1:15" ht="64.5" customHeight="1" x14ac:dyDescent="0.2">
      <c r="A53" s="210"/>
      <c r="B53" s="210"/>
      <c r="C53" s="210"/>
      <c r="D53" s="210"/>
      <c r="E53" s="210"/>
      <c r="F53" s="249"/>
      <c r="G53" s="210"/>
      <c r="H53" s="249"/>
      <c r="I53" s="210"/>
      <c r="J53" s="243"/>
      <c r="K53" s="12"/>
      <c r="L53" s="95"/>
      <c r="M53" s="12"/>
      <c r="N53" s="12"/>
      <c r="O53" s="95"/>
    </row>
    <row r="54" spans="1:15" ht="15" x14ac:dyDescent="0.2">
      <c r="A54" s="210"/>
      <c r="B54" s="210"/>
      <c r="C54" s="210"/>
      <c r="D54" s="210"/>
      <c r="E54" s="210"/>
      <c r="F54" s="249"/>
      <c r="G54" s="210"/>
      <c r="H54" s="249"/>
      <c r="I54" s="210"/>
      <c r="J54" s="243"/>
      <c r="K54" s="12"/>
      <c r="L54" s="95"/>
      <c r="M54" s="12"/>
      <c r="N54" s="12"/>
      <c r="O54" s="95"/>
    </row>
    <row r="55" spans="1:15" ht="16.5" customHeight="1" x14ac:dyDescent="0.25">
      <c r="A55" s="761" t="s">
        <v>28</v>
      </c>
      <c r="B55" s="761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</row>
    <row r="56" spans="1:15" ht="15.75" thickBot="1" x14ac:dyDescent="0.25">
      <c r="B56" s="11"/>
      <c r="C56" s="11"/>
      <c r="D56" s="11"/>
      <c r="E56" s="12"/>
      <c r="F56" s="95"/>
      <c r="G56" s="12"/>
      <c r="H56" s="95"/>
      <c r="I56" s="12"/>
      <c r="J56" s="243"/>
      <c r="K56" s="12"/>
      <c r="L56" s="95"/>
      <c r="M56" s="12"/>
      <c r="N56" s="12"/>
      <c r="O56" s="95"/>
    </row>
    <row r="57" spans="1:15" ht="16.5" thickBot="1" x14ac:dyDescent="0.3">
      <c r="A57" s="771" t="s">
        <v>50</v>
      </c>
      <c r="B57" s="772"/>
      <c r="C57" s="772"/>
      <c r="D57" s="772"/>
      <c r="E57" s="772"/>
      <c r="F57" s="772"/>
      <c r="G57" s="773"/>
    </row>
    <row r="58" spans="1:15" ht="16.5" customHeight="1" thickBot="1" x14ac:dyDescent="0.25">
      <c r="A58" s="226"/>
      <c r="B58" s="774" t="s">
        <v>105</v>
      </c>
      <c r="C58" s="775"/>
      <c r="D58" s="776"/>
      <c r="E58" s="777" t="s">
        <v>104</v>
      </c>
      <c r="F58" s="778"/>
      <c r="G58" s="779"/>
    </row>
    <row r="59" spans="1:15" ht="16.5" thickBot="1" x14ac:dyDescent="0.3">
      <c r="A59" s="225" t="s">
        <v>20</v>
      </c>
      <c r="B59" s="222" t="s">
        <v>21</v>
      </c>
      <c r="C59" s="223" t="s">
        <v>22</v>
      </c>
      <c r="D59" s="224" t="s">
        <v>23</v>
      </c>
      <c r="E59" s="780"/>
      <c r="F59" s="781"/>
      <c r="G59" s="782"/>
    </row>
    <row r="60" spans="1:15" ht="15.75" x14ac:dyDescent="0.25">
      <c r="A60" s="216">
        <v>1</v>
      </c>
      <c r="B60" s="30">
        <v>240</v>
      </c>
      <c r="C60" s="31">
        <v>240</v>
      </c>
      <c r="D60" s="51">
        <v>590</v>
      </c>
      <c r="E60" s="783">
        <f>18.9*80/100*1.05</f>
        <v>15.875999999999999</v>
      </c>
      <c r="F60" s="784"/>
      <c r="G60" s="785"/>
    </row>
    <row r="61" spans="1:15" ht="15.75" x14ac:dyDescent="0.25">
      <c r="A61" s="217">
        <v>2</v>
      </c>
      <c r="B61" s="30">
        <v>300</v>
      </c>
      <c r="C61" s="31">
        <v>240</v>
      </c>
      <c r="D61" s="51">
        <v>590</v>
      </c>
      <c r="E61" s="751">
        <f>24.5*80/100*1.05</f>
        <v>20.580000000000002</v>
      </c>
      <c r="F61" s="752"/>
      <c r="G61" s="753"/>
    </row>
    <row r="62" spans="1:15" ht="15.75" x14ac:dyDescent="0.25">
      <c r="A62" s="217">
        <v>3</v>
      </c>
      <c r="B62" s="94">
        <v>360</v>
      </c>
      <c r="C62" s="31">
        <v>240</v>
      </c>
      <c r="D62" s="33">
        <v>590</v>
      </c>
      <c r="E62" s="751">
        <f>30.1*80/100*1.05</f>
        <v>25.283999999999999</v>
      </c>
      <c r="F62" s="752"/>
      <c r="G62" s="753"/>
    </row>
    <row r="63" spans="1:15" ht="16.5" thickBot="1" x14ac:dyDescent="0.3">
      <c r="A63" s="218">
        <v>4</v>
      </c>
      <c r="B63" s="219">
        <v>420</v>
      </c>
      <c r="C63" s="220">
        <v>240</v>
      </c>
      <c r="D63" s="221">
        <v>590</v>
      </c>
      <c r="E63" s="758">
        <f>33.9*80/100*1.05</f>
        <v>28.476000000000003</v>
      </c>
      <c r="F63" s="759"/>
      <c r="G63" s="760"/>
    </row>
    <row r="70" spans="1:15" ht="15.75" x14ac:dyDescent="0.25">
      <c r="A70" s="164"/>
      <c r="B70" s="123"/>
      <c r="C70" s="12"/>
      <c r="D70" s="12"/>
      <c r="E70" s="95"/>
      <c r="F70" s="95"/>
      <c r="G70" s="95"/>
      <c r="H70" s="95"/>
      <c r="I70" s="95"/>
      <c r="J70" s="95"/>
      <c r="K70" s="95"/>
      <c r="L70" s="95"/>
      <c r="M70" s="95"/>
      <c r="N70" s="11"/>
      <c r="O70" s="243"/>
    </row>
    <row r="71" spans="1:15" ht="15.75" x14ac:dyDescent="0.25">
      <c r="A71" s="164"/>
      <c r="B71" s="123"/>
      <c r="C71" s="12"/>
      <c r="D71" s="12"/>
      <c r="E71" s="95"/>
      <c r="F71" s="95"/>
      <c r="G71" s="95"/>
      <c r="H71" s="95"/>
      <c r="I71" s="95"/>
      <c r="J71" s="95"/>
      <c r="K71" s="95"/>
      <c r="L71" s="95"/>
      <c r="M71" s="95"/>
      <c r="N71" s="11"/>
      <c r="O71" s="243"/>
    </row>
    <row r="72" spans="1:15" ht="15.75" x14ac:dyDescent="0.25">
      <c r="A72" s="164"/>
      <c r="B72" s="123"/>
      <c r="C72" s="12"/>
      <c r="D72" s="12"/>
      <c r="E72" s="95"/>
      <c r="F72" s="95"/>
      <c r="G72" s="95"/>
      <c r="H72" s="95"/>
      <c r="I72" s="95"/>
      <c r="J72" s="95"/>
      <c r="K72" s="95"/>
      <c r="L72" s="95"/>
      <c r="M72" s="95"/>
      <c r="N72" s="11"/>
      <c r="O72" s="243"/>
    </row>
    <row r="73" spans="1:15" ht="79.5" customHeight="1" x14ac:dyDescent="0.25">
      <c r="A73" s="164"/>
      <c r="B73" s="123"/>
      <c r="C73" s="12"/>
      <c r="D73" s="12"/>
      <c r="E73" s="95"/>
      <c r="F73" s="95"/>
      <c r="G73" s="95"/>
      <c r="H73" s="95"/>
      <c r="I73" s="95"/>
      <c r="J73" s="95"/>
      <c r="K73" s="95"/>
      <c r="L73" s="95"/>
      <c r="M73" s="95"/>
      <c r="N73" s="11"/>
      <c r="O73" s="243"/>
    </row>
    <row r="74" spans="1:15" ht="15.75" x14ac:dyDescent="0.25">
      <c r="A74" s="761" t="s">
        <v>54</v>
      </c>
      <c r="B74" s="761"/>
      <c r="C74" s="761"/>
      <c r="D74" s="761"/>
      <c r="E74" s="761"/>
      <c r="F74" s="761"/>
      <c r="G74" s="761"/>
      <c r="H74" s="761"/>
      <c r="I74" s="761"/>
      <c r="J74" s="761"/>
      <c r="K74" s="761"/>
      <c r="L74" s="761"/>
      <c r="M74" s="761"/>
      <c r="N74" s="761"/>
      <c r="O74" s="761"/>
    </row>
    <row r="75" spans="1:15" ht="16.5" thickBot="1" x14ac:dyDescent="0.3">
      <c r="A75" s="69"/>
      <c r="B75" s="92"/>
      <c r="C75" s="92"/>
      <c r="D75" s="92"/>
      <c r="E75" s="12"/>
      <c r="F75" s="95"/>
      <c r="G75" s="12"/>
      <c r="H75" s="95"/>
      <c r="I75" s="64"/>
      <c r="J75" s="243"/>
      <c r="K75" s="12"/>
      <c r="L75" s="95"/>
      <c r="M75" s="12"/>
      <c r="N75" s="12"/>
      <c r="O75" s="95"/>
    </row>
    <row r="76" spans="1:15" ht="17.25" thickTop="1" thickBot="1" x14ac:dyDescent="0.3">
      <c r="A76" s="762" t="s">
        <v>4</v>
      </c>
      <c r="B76" s="764" t="s">
        <v>21</v>
      </c>
      <c r="C76" s="766" t="s">
        <v>22</v>
      </c>
      <c r="D76" s="768" t="s">
        <v>23</v>
      </c>
      <c r="E76" s="754" t="s">
        <v>36</v>
      </c>
      <c r="F76" s="770"/>
      <c r="G76" s="754" t="s">
        <v>37</v>
      </c>
      <c r="H76" s="755"/>
      <c r="I76" s="754" t="s">
        <v>38</v>
      </c>
      <c r="J76" s="755"/>
      <c r="K76" s="754" t="s">
        <v>39</v>
      </c>
      <c r="L76" s="755"/>
      <c r="M76" s="754" t="s">
        <v>40</v>
      </c>
      <c r="N76" s="755"/>
      <c r="O76" s="756" t="s">
        <v>43</v>
      </c>
    </row>
    <row r="77" spans="1:15" ht="15.75" customHeight="1" thickTop="1" thickBot="1" x14ac:dyDescent="0.25">
      <c r="A77" s="763"/>
      <c r="B77" s="765"/>
      <c r="C77" s="767"/>
      <c r="D77" s="769"/>
      <c r="E77" s="201" t="s">
        <v>41</v>
      </c>
      <c r="F77" s="257" t="s">
        <v>42</v>
      </c>
      <c r="G77" s="201" t="s">
        <v>41</v>
      </c>
      <c r="H77" s="257" t="s">
        <v>42</v>
      </c>
      <c r="I77" s="201" t="s">
        <v>41</v>
      </c>
      <c r="J77" s="257" t="s">
        <v>42</v>
      </c>
      <c r="K77" s="201" t="s">
        <v>41</v>
      </c>
      <c r="L77" s="257" t="s">
        <v>42</v>
      </c>
      <c r="M77" s="203" t="s">
        <v>41</v>
      </c>
      <c r="N77" s="202" t="s">
        <v>42</v>
      </c>
      <c r="O77" s="757"/>
    </row>
    <row r="78" spans="1:15" ht="16.5" thickTop="1" x14ac:dyDescent="0.25">
      <c r="A78" s="196">
        <v>1</v>
      </c>
      <c r="B78" s="197">
        <v>60</v>
      </c>
      <c r="C78" s="152">
        <v>240</v>
      </c>
      <c r="D78" s="32">
        <v>590</v>
      </c>
      <c r="E78" s="195" t="s">
        <v>45</v>
      </c>
      <c r="F78" s="128">
        <v>1.4953000000000001</v>
      </c>
      <c r="G78" s="195" t="s">
        <v>45</v>
      </c>
      <c r="H78" s="128">
        <v>1.4953000000000001</v>
      </c>
      <c r="I78" s="195">
        <v>160</v>
      </c>
      <c r="J78" s="128">
        <v>1.3593</v>
      </c>
      <c r="K78" s="195">
        <v>112</v>
      </c>
      <c r="L78" s="128">
        <v>0.95150000000000001</v>
      </c>
      <c r="M78" s="195">
        <v>192</v>
      </c>
      <c r="N78" s="198">
        <v>1.6312</v>
      </c>
      <c r="O78" s="85">
        <v>117.7</v>
      </c>
    </row>
    <row r="79" spans="1:15" ht="15.75" x14ac:dyDescent="0.25">
      <c r="A79" s="190">
        <v>2</v>
      </c>
      <c r="B79" s="185">
        <v>80</v>
      </c>
      <c r="C79" s="31">
        <v>240</v>
      </c>
      <c r="D79" s="33">
        <v>590</v>
      </c>
      <c r="E79" s="184">
        <v>144</v>
      </c>
      <c r="F79" s="35">
        <v>1.6312</v>
      </c>
      <c r="G79" s="184">
        <v>144</v>
      </c>
      <c r="H79" s="35">
        <v>1.6312</v>
      </c>
      <c r="I79" s="184">
        <v>125</v>
      </c>
      <c r="J79" s="35">
        <v>1.4159999999999999</v>
      </c>
      <c r="K79" s="184">
        <v>105</v>
      </c>
      <c r="L79" s="35">
        <v>1.1894</v>
      </c>
      <c r="M79" s="184">
        <v>150</v>
      </c>
      <c r="N79" s="33">
        <v>1.6992</v>
      </c>
      <c r="O79" s="40">
        <v>88.27</v>
      </c>
    </row>
    <row r="80" spans="1:15" ht="16.5" customHeight="1" x14ac:dyDescent="0.25">
      <c r="A80" s="190">
        <v>3</v>
      </c>
      <c r="B80" s="185">
        <v>100</v>
      </c>
      <c r="C80" s="31">
        <v>240</v>
      </c>
      <c r="D80" s="33">
        <v>590</v>
      </c>
      <c r="E80" s="187" t="s">
        <v>3</v>
      </c>
      <c r="F80" s="174" t="s">
        <v>3</v>
      </c>
      <c r="G80" s="187" t="s">
        <v>3</v>
      </c>
      <c r="H80" s="174" t="s">
        <v>3</v>
      </c>
      <c r="I80" s="184">
        <v>120</v>
      </c>
      <c r="J80" s="35">
        <v>1.6992</v>
      </c>
      <c r="K80" s="184" t="s">
        <v>3</v>
      </c>
      <c r="L80" s="35" t="s">
        <v>3</v>
      </c>
      <c r="M80" s="184">
        <v>120</v>
      </c>
      <c r="N80" s="33">
        <v>1.6992</v>
      </c>
      <c r="O80" s="40">
        <v>70.42</v>
      </c>
    </row>
    <row r="81" spans="1:19" ht="15.75" x14ac:dyDescent="0.25">
      <c r="A81" s="191">
        <v>5</v>
      </c>
      <c r="B81" s="193">
        <v>120</v>
      </c>
      <c r="C81" s="71">
        <v>240</v>
      </c>
      <c r="D81" s="73">
        <v>590</v>
      </c>
      <c r="E81" s="185">
        <v>96</v>
      </c>
      <c r="F81" s="114">
        <v>1.6312</v>
      </c>
      <c r="G81" s="185">
        <v>96</v>
      </c>
      <c r="H81" s="114">
        <v>1.6312</v>
      </c>
      <c r="I81" s="185">
        <v>96</v>
      </c>
      <c r="J81" s="114">
        <v>1.6312</v>
      </c>
      <c r="K81" s="185">
        <v>70</v>
      </c>
      <c r="L81" s="114">
        <v>1.1894</v>
      </c>
      <c r="M81" s="185">
        <v>96</v>
      </c>
      <c r="N81" s="125">
        <v>1.6312</v>
      </c>
      <c r="O81" s="133">
        <v>58.85</v>
      </c>
      <c r="P81" s="1"/>
      <c r="Q81" s="1"/>
      <c r="R81" s="1"/>
      <c r="S81" s="1"/>
    </row>
    <row r="82" spans="1:19" ht="15.75" x14ac:dyDescent="0.25">
      <c r="A82" s="190">
        <v>6</v>
      </c>
      <c r="B82" s="185">
        <v>150</v>
      </c>
      <c r="C82" s="31">
        <v>240</v>
      </c>
      <c r="D82" s="33">
        <v>590</v>
      </c>
      <c r="E82" s="187" t="s">
        <v>3</v>
      </c>
      <c r="F82" s="174" t="s">
        <v>3</v>
      </c>
      <c r="G82" s="187" t="s">
        <v>3</v>
      </c>
      <c r="H82" s="174" t="s">
        <v>3</v>
      </c>
      <c r="I82" s="187" t="s">
        <v>3</v>
      </c>
      <c r="J82" s="174" t="s">
        <v>3</v>
      </c>
      <c r="K82" s="187" t="s">
        <v>3</v>
      </c>
      <c r="L82" s="174" t="s">
        <v>3</v>
      </c>
      <c r="M82" s="184">
        <v>72</v>
      </c>
      <c r="N82" s="33">
        <v>1.5293000000000001</v>
      </c>
      <c r="O82" s="40">
        <v>47.17</v>
      </c>
    </row>
    <row r="83" spans="1:19" ht="15.75" x14ac:dyDescent="0.25">
      <c r="A83" s="190">
        <v>7</v>
      </c>
      <c r="B83" s="185">
        <v>180</v>
      </c>
      <c r="C83" s="31">
        <v>240</v>
      </c>
      <c r="D83" s="33">
        <v>590</v>
      </c>
      <c r="E83" s="184">
        <v>64</v>
      </c>
      <c r="F83" s="35">
        <v>1.6312</v>
      </c>
      <c r="G83" s="184">
        <v>64</v>
      </c>
      <c r="H83" s="35">
        <v>1.6312</v>
      </c>
      <c r="I83" s="184">
        <v>64</v>
      </c>
      <c r="J83" s="35">
        <v>1.6312</v>
      </c>
      <c r="K83" s="184">
        <v>42</v>
      </c>
      <c r="L83" s="35">
        <v>1.0705</v>
      </c>
      <c r="M83" s="184">
        <v>64</v>
      </c>
      <c r="N83" s="33">
        <v>1.6312</v>
      </c>
      <c r="O83" s="40">
        <v>39.229999999999997</v>
      </c>
    </row>
    <row r="84" spans="1:19" s="1" customFormat="1" ht="15.75" x14ac:dyDescent="0.25">
      <c r="A84" s="191">
        <v>9</v>
      </c>
      <c r="B84" s="193">
        <v>240</v>
      </c>
      <c r="C84" s="71">
        <v>240</v>
      </c>
      <c r="D84" s="73">
        <v>590</v>
      </c>
      <c r="E84" s="185">
        <v>48</v>
      </c>
      <c r="F84" s="114">
        <v>1.6312</v>
      </c>
      <c r="G84" s="185">
        <v>48</v>
      </c>
      <c r="H84" s="114">
        <v>1.6312</v>
      </c>
      <c r="I84" s="185">
        <v>48</v>
      </c>
      <c r="J84" s="114">
        <v>1.6312</v>
      </c>
      <c r="K84" s="185">
        <v>35</v>
      </c>
      <c r="L84" s="114">
        <v>1.1894</v>
      </c>
      <c r="M84" s="185">
        <v>48</v>
      </c>
      <c r="N84" s="125">
        <v>1.6312</v>
      </c>
      <c r="O84" s="133">
        <v>29.42</v>
      </c>
    </row>
    <row r="85" spans="1:19" ht="15.75" x14ac:dyDescent="0.25">
      <c r="A85" s="190">
        <v>10</v>
      </c>
      <c r="B85" s="185">
        <v>300</v>
      </c>
      <c r="C85" s="31">
        <v>240</v>
      </c>
      <c r="D85" s="33">
        <v>590</v>
      </c>
      <c r="E85" s="184">
        <v>40</v>
      </c>
      <c r="F85" s="35">
        <v>1.6992</v>
      </c>
      <c r="G85" s="184">
        <v>40</v>
      </c>
      <c r="H85" s="35">
        <v>1.6992</v>
      </c>
      <c r="I85" s="184">
        <v>40</v>
      </c>
      <c r="J85" s="35">
        <v>1.6992</v>
      </c>
      <c r="K85" s="184">
        <v>28</v>
      </c>
      <c r="L85" s="35">
        <v>1.1894</v>
      </c>
      <c r="M85" s="184">
        <v>40</v>
      </c>
      <c r="N85" s="33">
        <v>1.6992</v>
      </c>
      <c r="O85" s="40">
        <v>23.54</v>
      </c>
    </row>
    <row r="86" spans="1:19" ht="15.75" x14ac:dyDescent="0.25">
      <c r="A86" s="190">
        <v>11</v>
      </c>
      <c r="B86" s="185">
        <v>360</v>
      </c>
      <c r="C86" s="31">
        <v>240</v>
      </c>
      <c r="D86" s="33">
        <v>590</v>
      </c>
      <c r="E86" s="184">
        <v>32</v>
      </c>
      <c r="F86" s="35">
        <v>1.6312</v>
      </c>
      <c r="G86" s="184">
        <v>32</v>
      </c>
      <c r="H86" s="35">
        <v>1.6312</v>
      </c>
      <c r="I86" s="184">
        <v>32</v>
      </c>
      <c r="J86" s="35">
        <v>1.6312</v>
      </c>
      <c r="K86" s="184">
        <v>21</v>
      </c>
      <c r="L86" s="35">
        <v>1.0705</v>
      </c>
      <c r="M86" s="184">
        <v>32</v>
      </c>
      <c r="N86" s="33">
        <v>1.6312</v>
      </c>
      <c r="O86" s="40">
        <v>19.61</v>
      </c>
    </row>
    <row r="87" spans="1:19" s="1" customFormat="1" ht="16.5" thickBot="1" x14ac:dyDescent="0.3">
      <c r="A87" s="192">
        <v>12</v>
      </c>
      <c r="B87" s="194">
        <v>420</v>
      </c>
      <c r="C87" s="42">
        <v>240</v>
      </c>
      <c r="D87" s="43">
        <v>590</v>
      </c>
      <c r="E87" s="189">
        <v>24</v>
      </c>
      <c r="F87" s="45">
        <v>1.4273</v>
      </c>
      <c r="G87" s="189">
        <v>24</v>
      </c>
      <c r="H87" s="45">
        <v>1.4273</v>
      </c>
      <c r="I87" s="186" t="s">
        <v>3</v>
      </c>
      <c r="J87" s="268" t="s">
        <v>3</v>
      </c>
      <c r="K87" s="189">
        <v>24</v>
      </c>
      <c r="L87" s="45">
        <v>1.4273</v>
      </c>
      <c r="M87" s="186" t="s">
        <v>3</v>
      </c>
      <c r="N87" s="188" t="s">
        <v>3</v>
      </c>
      <c r="O87" s="48">
        <v>16.809999999999999</v>
      </c>
      <c r="P87"/>
      <c r="Q87"/>
      <c r="R87"/>
      <c r="S87"/>
    </row>
    <row r="88" spans="1:19" ht="13.5" thickTop="1" x14ac:dyDescent="0.2">
      <c r="B88" s="156" t="s">
        <v>44</v>
      </c>
      <c r="C88" s="156"/>
      <c r="D88" s="156"/>
      <c r="E88" s="156"/>
      <c r="F88" s="277"/>
      <c r="G88" s="156"/>
    </row>
    <row r="89" spans="1:19" x14ac:dyDescent="0.2">
      <c r="B89" s="156"/>
      <c r="C89" s="156"/>
      <c r="D89" s="156"/>
      <c r="E89" s="156"/>
      <c r="F89" s="277"/>
      <c r="G89" s="156"/>
    </row>
    <row r="90" spans="1:19" x14ac:dyDescent="0.2">
      <c r="B90" s="156"/>
      <c r="C90" s="156"/>
      <c r="D90" s="156"/>
      <c r="E90" s="156"/>
      <c r="F90" s="277"/>
      <c r="G90" s="156"/>
    </row>
    <row r="91" spans="1:19" ht="17.25" customHeight="1" x14ac:dyDescent="0.2"/>
    <row r="92" spans="1:19" ht="17.25" customHeight="1" x14ac:dyDescent="0.25">
      <c r="A92" s="64" t="s">
        <v>57</v>
      </c>
      <c r="B92" s="64"/>
      <c r="C92" s="64"/>
      <c r="D92" s="64"/>
      <c r="E92" s="64"/>
      <c r="F92" s="258"/>
      <c r="G92" s="64"/>
      <c r="H92" s="258"/>
      <c r="I92" s="64"/>
      <c r="J92" s="258"/>
      <c r="K92" s="64"/>
      <c r="L92" s="258"/>
      <c r="M92" s="64"/>
      <c r="N92" s="64"/>
      <c r="O92" s="258"/>
    </row>
    <row r="93" spans="1:19" ht="17.25" customHeight="1" x14ac:dyDescent="0.25">
      <c r="A93" s="64" t="s">
        <v>112</v>
      </c>
      <c r="B93" s="64"/>
      <c r="C93" s="64"/>
      <c r="D93" s="64"/>
      <c r="E93" s="64"/>
      <c r="F93" s="258"/>
      <c r="G93" s="64"/>
      <c r="H93" s="258"/>
      <c r="I93" s="64"/>
      <c r="J93" s="258"/>
      <c r="K93" s="64"/>
      <c r="L93" s="258"/>
      <c r="M93" s="64"/>
      <c r="N93" s="64"/>
      <c r="O93" s="258"/>
    </row>
    <row r="94" spans="1:19" ht="15" x14ac:dyDescent="0.2">
      <c r="A94" s="64" t="s">
        <v>56</v>
      </c>
      <c r="B94" s="64"/>
      <c r="C94" s="64"/>
      <c r="D94" s="64"/>
      <c r="E94" s="64"/>
      <c r="F94" s="258"/>
      <c r="G94" s="64"/>
      <c r="H94" s="258"/>
      <c r="I94" s="64"/>
      <c r="J94" s="258"/>
      <c r="K94" s="64"/>
      <c r="L94" s="258"/>
      <c r="M94" s="64"/>
      <c r="N94" s="64"/>
      <c r="O94" s="258"/>
    </row>
    <row r="97" spans="1:16" ht="96.75" customHeight="1" x14ac:dyDescent="0.2"/>
    <row r="98" spans="1:16" ht="10.5" customHeight="1" x14ac:dyDescent="0.2"/>
    <row r="99" spans="1:16" hidden="1" x14ac:dyDescent="0.2"/>
    <row r="100" spans="1:16" ht="12" customHeight="1" x14ac:dyDescent="0.2"/>
    <row r="101" spans="1:16" ht="5.25" customHeight="1" x14ac:dyDescent="0.2"/>
    <row r="102" spans="1:16" ht="1.5" customHeight="1" x14ac:dyDescent="0.2"/>
    <row r="103" spans="1:16" ht="0.75" hidden="1" customHeight="1" x14ac:dyDescent="0.25">
      <c r="A103" s="207" t="s">
        <v>58</v>
      </c>
      <c r="B103" s="207"/>
      <c r="C103" s="207"/>
      <c r="D103" s="207"/>
      <c r="E103" s="207"/>
      <c r="F103" s="240"/>
      <c r="G103" s="207"/>
      <c r="H103" s="240"/>
      <c r="I103" s="207"/>
      <c r="J103" s="240"/>
      <c r="K103" s="207"/>
      <c r="L103" s="240"/>
      <c r="M103" s="207"/>
      <c r="N103" s="207"/>
      <c r="O103" s="240"/>
      <c r="P103" s="207"/>
    </row>
    <row r="104" spans="1:16" hidden="1" x14ac:dyDescent="0.2"/>
    <row r="105" spans="1:16" ht="12.75" hidden="1" customHeight="1" x14ac:dyDescent="0.2">
      <c r="A105" s="208" t="s">
        <v>59</v>
      </c>
      <c r="B105" s="208"/>
      <c r="C105" s="208"/>
      <c r="D105" s="208"/>
      <c r="E105" s="747" t="s">
        <v>60</v>
      </c>
      <c r="F105" s="747"/>
      <c r="G105" s="747"/>
      <c r="H105" s="748" t="s">
        <v>61</v>
      </c>
      <c r="I105" s="749"/>
      <c r="J105" s="750"/>
      <c r="K105" s="747" t="s">
        <v>62</v>
      </c>
      <c r="L105" s="747"/>
      <c r="M105" s="747"/>
      <c r="N105" s="747" t="s">
        <v>63</v>
      </c>
      <c r="O105" s="747"/>
      <c r="P105" s="747"/>
    </row>
    <row r="106" spans="1:16" x14ac:dyDescent="0.2">
      <c r="A106" s="731" t="s">
        <v>64</v>
      </c>
      <c r="B106" s="732"/>
      <c r="C106" s="732"/>
      <c r="D106" s="733"/>
      <c r="E106" s="734" t="s">
        <v>65</v>
      </c>
      <c r="F106" s="734"/>
      <c r="G106" s="734"/>
      <c r="H106" s="735" t="s">
        <v>66</v>
      </c>
      <c r="I106" s="736"/>
      <c r="J106" s="737"/>
      <c r="K106" s="734" t="s">
        <v>67</v>
      </c>
      <c r="L106" s="734"/>
      <c r="M106" s="734"/>
      <c r="N106" s="734" t="s">
        <v>68</v>
      </c>
      <c r="O106" s="734"/>
      <c r="P106" s="734"/>
    </row>
    <row r="107" spans="1:16" x14ac:dyDescent="0.2">
      <c r="A107" s="740" t="s">
        <v>69</v>
      </c>
      <c r="B107" s="741"/>
      <c r="C107" s="741"/>
      <c r="D107" s="742"/>
      <c r="E107" s="743" t="s">
        <v>70</v>
      </c>
      <c r="F107" s="743"/>
      <c r="G107" s="743"/>
      <c r="H107" s="744" t="s">
        <v>71</v>
      </c>
      <c r="I107" s="745"/>
      <c r="J107" s="746"/>
      <c r="K107" s="743" t="s">
        <v>72</v>
      </c>
      <c r="L107" s="743"/>
      <c r="M107" s="743"/>
      <c r="N107" s="743" t="s">
        <v>73</v>
      </c>
      <c r="O107" s="743"/>
      <c r="P107" s="743"/>
    </row>
    <row r="108" spans="1:16" x14ac:dyDescent="0.2">
      <c r="A108" s="740" t="s">
        <v>74</v>
      </c>
      <c r="B108" s="741"/>
      <c r="C108" s="741"/>
      <c r="D108" s="742"/>
      <c r="E108" s="739" t="s">
        <v>78</v>
      </c>
      <c r="F108" s="739"/>
      <c r="G108" s="739"/>
      <c r="H108" s="740" t="s">
        <v>80</v>
      </c>
      <c r="I108" s="741"/>
      <c r="J108" s="742"/>
      <c r="K108" s="739" t="s">
        <v>77</v>
      </c>
      <c r="L108" s="739"/>
      <c r="M108" s="739"/>
      <c r="N108" s="739" t="s">
        <v>82</v>
      </c>
      <c r="O108" s="739"/>
      <c r="P108" s="739"/>
    </row>
    <row r="109" spans="1:16" x14ac:dyDescent="0.2">
      <c r="A109" s="724" t="s">
        <v>75</v>
      </c>
      <c r="B109" s="725"/>
      <c r="C109" s="725"/>
      <c r="D109" s="726"/>
      <c r="E109" s="738" t="s">
        <v>79</v>
      </c>
      <c r="F109" s="738"/>
      <c r="G109" s="738"/>
      <c r="H109" s="724" t="s">
        <v>81</v>
      </c>
      <c r="I109" s="725"/>
      <c r="J109" s="726"/>
      <c r="K109" s="738" t="s">
        <v>76</v>
      </c>
      <c r="L109" s="738"/>
      <c r="M109" s="738"/>
      <c r="N109" s="738" t="s">
        <v>83</v>
      </c>
      <c r="O109" s="738"/>
      <c r="P109" s="738"/>
    </row>
    <row r="110" spans="1:16" x14ac:dyDescent="0.2">
      <c r="A110" s="730" t="s">
        <v>94</v>
      </c>
      <c r="B110" s="730"/>
      <c r="C110" s="730"/>
      <c r="D110" s="730"/>
      <c r="E110" s="730"/>
      <c r="F110" s="730"/>
      <c r="G110" s="730"/>
      <c r="H110" s="730"/>
      <c r="I110" s="730"/>
      <c r="J110" s="730"/>
      <c r="K110" s="730"/>
      <c r="L110" s="730"/>
      <c r="M110" s="730"/>
      <c r="N110" s="730"/>
      <c r="O110" s="730"/>
      <c r="P110" s="730"/>
    </row>
    <row r="111" spans="1:16" x14ac:dyDescent="0.2">
      <c r="A111" s="731" t="s">
        <v>84</v>
      </c>
      <c r="B111" s="732"/>
      <c r="C111" s="732"/>
      <c r="D111" s="733"/>
      <c r="E111" s="734" t="s">
        <v>86</v>
      </c>
      <c r="F111" s="734"/>
      <c r="G111" s="734"/>
      <c r="H111" s="735" t="s">
        <v>87</v>
      </c>
      <c r="I111" s="736"/>
      <c r="J111" s="737"/>
      <c r="K111" s="734" t="s">
        <v>90</v>
      </c>
      <c r="L111" s="734"/>
      <c r="M111" s="734"/>
      <c r="N111" s="734" t="s">
        <v>92</v>
      </c>
      <c r="O111" s="734"/>
      <c r="P111" s="734"/>
    </row>
    <row r="112" spans="1:16" x14ac:dyDescent="0.2">
      <c r="A112" s="724" t="s">
        <v>85</v>
      </c>
      <c r="B112" s="725"/>
      <c r="C112" s="725"/>
      <c r="D112" s="726"/>
      <c r="E112" s="721" t="s">
        <v>88</v>
      </c>
      <c r="F112" s="721"/>
      <c r="G112" s="721"/>
      <c r="H112" s="727" t="s">
        <v>89</v>
      </c>
      <c r="I112" s="728"/>
      <c r="J112" s="729"/>
      <c r="K112" s="721" t="s">
        <v>91</v>
      </c>
      <c r="L112" s="721"/>
      <c r="M112" s="721"/>
      <c r="N112" s="721" t="s">
        <v>93</v>
      </c>
      <c r="O112" s="721"/>
      <c r="P112" s="721"/>
    </row>
    <row r="113" spans="1:16" ht="81.75" customHeight="1" x14ac:dyDescent="0.2">
      <c r="A113" s="212"/>
      <c r="B113" s="212"/>
      <c r="C113" s="212"/>
      <c r="D113" s="212"/>
      <c r="E113" s="4"/>
      <c r="F113" s="259"/>
      <c r="G113" s="4"/>
      <c r="H113" s="259"/>
      <c r="I113" s="4"/>
      <c r="J113" s="259"/>
      <c r="K113" s="4"/>
      <c r="L113" s="259"/>
      <c r="M113" s="4"/>
      <c r="N113" s="4"/>
      <c r="O113" s="259"/>
      <c r="P113" s="4"/>
    </row>
    <row r="114" spans="1:16" ht="18.75" customHeight="1" x14ac:dyDescent="0.2">
      <c r="A114" s="212"/>
      <c r="B114" s="212"/>
      <c r="C114" s="212"/>
      <c r="D114" s="212"/>
      <c r="E114" s="4"/>
      <c r="F114" s="259"/>
      <c r="G114" s="4"/>
      <c r="H114" s="259"/>
      <c r="I114" s="4"/>
      <c r="J114" s="259"/>
      <c r="K114" s="4"/>
      <c r="L114" s="259"/>
      <c r="M114" s="4"/>
      <c r="N114" s="4"/>
      <c r="O114" s="259"/>
      <c r="P114" s="4"/>
    </row>
    <row r="115" spans="1:16" ht="14.25" customHeight="1" x14ac:dyDescent="0.2"/>
    <row r="117" spans="1:16" ht="43.5" customHeight="1" x14ac:dyDescent="0.3">
      <c r="A117" s="722" t="s">
        <v>96</v>
      </c>
      <c r="B117" s="722"/>
      <c r="C117" s="722"/>
      <c r="D117" s="722"/>
      <c r="E117" s="722"/>
      <c r="F117" s="722"/>
      <c r="G117" s="722"/>
      <c r="H117" s="722"/>
      <c r="I117" s="722"/>
      <c r="J117" s="722"/>
      <c r="K117" s="722"/>
      <c r="L117" s="722"/>
      <c r="M117" s="722"/>
      <c r="N117" s="722"/>
      <c r="O117" s="722"/>
      <c r="P117" s="209"/>
    </row>
    <row r="119" spans="1:16" x14ac:dyDescent="0.2">
      <c r="A119" s="723" t="s">
        <v>102</v>
      </c>
      <c r="B119" s="723"/>
      <c r="C119" s="723"/>
      <c r="D119" s="723"/>
      <c r="E119" s="723"/>
      <c r="F119" s="723"/>
      <c r="G119" s="723"/>
      <c r="H119" s="723"/>
      <c r="I119" s="723"/>
      <c r="J119" s="723"/>
      <c r="K119" s="723"/>
      <c r="L119" s="723"/>
      <c r="M119" s="723"/>
      <c r="N119" s="723"/>
      <c r="O119" s="723"/>
      <c r="P119" s="206"/>
    </row>
    <row r="120" spans="1:16" x14ac:dyDescent="0.2">
      <c r="A120" s="720" t="s">
        <v>97</v>
      </c>
      <c r="B120" s="720"/>
      <c r="C120" s="720"/>
      <c r="D120" s="720"/>
      <c r="E120" s="720"/>
      <c r="F120" s="720"/>
      <c r="G120" s="720"/>
      <c r="H120" s="720"/>
      <c r="I120" s="720"/>
      <c r="J120" s="720"/>
      <c r="K120" s="720"/>
      <c r="L120" s="720"/>
      <c r="M120" s="720"/>
      <c r="N120" s="720"/>
      <c r="O120" s="720"/>
      <c r="P120" s="206"/>
    </row>
    <row r="121" spans="1:16" x14ac:dyDescent="0.2">
      <c r="A121" s="720" t="s">
        <v>98</v>
      </c>
      <c r="B121" s="720"/>
      <c r="C121" s="720"/>
      <c r="D121" s="720"/>
      <c r="E121" s="720"/>
      <c r="F121" s="720"/>
      <c r="G121" s="720"/>
      <c r="H121" s="720"/>
      <c r="I121" s="720"/>
      <c r="J121" s="720"/>
      <c r="K121" s="720"/>
      <c r="L121" s="720"/>
      <c r="M121" s="720"/>
      <c r="N121" s="720"/>
      <c r="O121" s="720"/>
      <c r="P121" s="206"/>
    </row>
    <row r="122" spans="1:16" ht="10.5" customHeight="1" x14ac:dyDescent="0.2">
      <c r="A122" s="720" t="s">
        <v>99</v>
      </c>
      <c r="B122" s="720"/>
      <c r="C122" s="720"/>
      <c r="D122" s="720"/>
      <c r="E122" s="720"/>
      <c r="F122" s="720"/>
      <c r="G122" s="720"/>
      <c r="H122" s="720"/>
      <c r="I122" s="720"/>
      <c r="J122" s="720"/>
      <c r="K122" s="720"/>
      <c r="L122" s="720"/>
      <c r="M122" s="720"/>
      <c r="N122" s="720"/>
      <c r="O122" s="720"/>
      <c r="P122" s="206"/>
    </row>
    <row r="123" spans="1:16" ht="10.5" customHeight="1" x14ac:dyDescent="0.2">
      <c r="A123" s="720" t="s">
        <v>100</v>
      </c>
      <c r="B123" s="720"/>
      <c r="C123" s="720"/>
      <c r="D123" s="720"/>
      <c r="E123" s="720"/>
      <c r="F123" s="720"/>
      <c r="G123" s="720"/>
      <c r="H123" s="720"/>
      <c r="I123" s="720"/>
      <c r="J123" s="720"/>
      <c r="K123" s="720"/>
      <c r="L123" s="720"/>
      <c r="M123" s="720"/>
      <c r="N123" s="720"/>
      <c r="O123" s="720"/>
      <c r="P123" s="206"/>
    </row>
    <row r="124" spans="1:16" ht="10.5" customHeight="1" x14ac:dyDescent="0.2">
      <c r="A124" s="720" t="s">
        <v>101</v>
      </c>
      <c r="B124" s="720"/>
      <c r="C124" s="720"/>
      <c r="D124" s="720"/>
      <c r="E124" s="720"/>
      <c r="F124" s="720"/>
      <c r="G124" s="720"/>
      <c r="H124" s="720"/>
      <c r="I124" s="720"/>
      <c r="J124" s="720"/>
      <c r="K124" s="720"/>
      <c r="L124" s="720"/>
      <c r="M124" s="720"/>
      <c r="N124" s="720"/>
      <c r="O124" s="720"/>
      <c r="P124" s="206"/>
    </row>
    <row r="125" spans="1:16" ht="10.5" customHeight="1" x14ac:dyDescent="0.2"/>
    <row r="126" spans="1:16" ht="10.5" customHeight="1" x14ac:dyDescent="0.2"/>
    <row r="127" spans="1:16" ht="10.5" customHeight="1" x14ac:dyDescent="0.2">
      <c r="D127" s="211"/>
    </row>
    <row r="128" spans="1:16" ht="15" x14ac:dyDescent="0.2">
      <c r="D128" s="211"/>
    </row>
    <row r="129" spans="4:4" ht="15" x14ac:dyDescent="0.2">
      <c r="D129" s="211"/>
    </row>
  </sheetData>
  <mergeCells count="86">
    <mergeCell ref="B2:G2"/>
    <mergeCell ref="A3:L3"/>
    <mergeCell ref="A4:I4"/>
    <mergeCell ref="A8:D11"/>
    <mergeCell ref="E8:O8"/>
    <mergeCell ref="E9:H9"/>
    <mergeCell ref="I9:O9"/>
    <mergeCell ref="E10:F10"/>
    <mergeCell ref="G10:H10"/>
    <mergeCell ref="I10:J10"/>
    <mergeCell ref="A52:I52"/>
    <mergeCell ref="K10:O10"/>
    <mergeCell ref="E12:L12"/>
    <mergeCell ref="A22:I22"/>
    <mergeCell ref="A38:D41"/>
    <mergeCell ref="E38:N38"/>
    <mergeCell ref="E39:F39"/>
    <mergeCell ref="G39:H39"/>
    <mergeCell ref="I40:J40"/>
    <mergeCell ref="K40:N40"/>
    <mergeCell ref="E42:J42"/>
    <mergeCell ref="K42:L42"/>
    <mergeCell ref="E40:F40"/>
    <mergeCell ref="G40:H40"/>
    <mergeCell ref="E61:G61"/>
    <mergeCell ref="A55:O55"/>
    <mergeCell ref="A57:G57"/>
    <mergeCell ref="B58:D58"/>
    <mergeCell ref="E58:G58"/>
    <mergeCell ref="E59:G59"/>
    <mergeCell ref="E60:G60"/>
    <mergeCell ref="E62:G62"/>
    <mergeCell ref="I76:J76"/>
    <mergeCell ref="K76:L76"/>
    <mergeCell ref="M76:N76"/>
    <mergeCell ref="O76:O77"/>
    <mergeCell ref="E63:G63"/>
    <mergeCell ref="A74:O74"/>
    <mergeCell ref="A76:A77"/>
    <mergeCell ref="B76:B77"/>
    <mergeCell ref="C76:C77"/>
    <mergeCell ref="D76:D77"/>
    <mergeCell ref="E76:F76"/>
    <mergeCell ref="G76:H76"/>
    <mergeCell ref="E105:G105"/>
    <mergeCell ref="H105:J105"/>
    <mergeCell ref="K105:M105"/>
    <mergeCell ref="N105:P105"/>
    <mergeCell ref="N106:P106"/>
    <mergeCell ref="A106:D106"/>
    <mergeCell ref="E106:G106"/>
    <mergeCell ref="H106:J106"/>
    <mergeCell ref="K106:M106"/>
    <mergeCell ref="N108:P108"/>
    <mergeCell ref="A108:D108"/>
    <mergeCell ref="E108:G108"/>
    <mergeCell ref="H108:J108"/>
    <mergeCell ref="K108:M108"/>
    <mergeCell ref="A107:D107"/>
    <mergeCell ref="E107:G107"/>
    <mergeCell ref="H107:J107"/>
    <mergeCell ref="K107:M107"/>
    <mergeCell ref="N107:P107"/>
    <mergeCell ref="A109:D109"/>
    <mergeCell ref="E109:G109"/>
    <mergeCell ref="H109:J109"/>
    <mergeCell ref="K109:M109"/>
    <mergeCell ref="N109:P109"/>
    <mergeCell ref="A110:P110"/>
    <mergeCell ref="A111:D111"/>
    <mergeCell ref="E111:G111"/>
    <mergeCell ref="H111:J111"/>
    <mergeCell ref="K111:M111"/>
    <mergeCell ref="N111:P111"/>
    <mergeCell ref="A121:O121"/>
    <mergeCell ref="A122:O122"/>
    <mergeCell ref="A123:O123"/>
    <mergeCell ref="A124:O124"/>
    <mergeCell ref="N112:P112"/>
    <mergeCell ref="A117:O117"/>
    <mergeCell ref="A119:O119"/>
    <mergeCell ref="A120:O120"/>
    <mergeCell ref="A112:D112"/>
    <mergeCell ref="E112:G112"/>
    <mergeCell ref="H112:J112"/>
    <mergeCell ref="K112:M1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>
    <tabColor indexed="17"/>
  </sheetPr>
  <dimension ref="A1:O95"/>
  <sheetViews>
    <sheetView workbookViewId="0">
      <selection activeCell="E25" sqref="E25:O25"/>
    </sheetView>
  </sheetViews>
  <sheetFormatPr defaultColWidth="9.140625" defaultRowHeight="12.75" x14ac:dyDescent="0.2"/>
  <cols>
    <col min="1" max="1" width="3.140625" customWidth="1"/>
    <col min="2" max="2" width="5.7109375" customWidth="1"/>
    <col min="3" max="4" width="6.42578125" customWidth="1"/>
    <col min="5" max="5" width="8.7109375" customWidth="1"/>
    <col min="6" max="6" width="9.7109375" customWidth="1"/>
    <col min="7" max="7" width="8.7109375" customWidth="1"/>
    <col min="8" max="8" width="9.7109375" customWidth="1"/>
    <col min="9" max="9" width="8.7109375" customWidth="1"/>
    <col min="10" max="10" width="9.7109375" customWidth="1"/>
    <col min="11" max="11" width="8.7109375" customWidth="1"/>
    <col min="12" max="12" width="9.7109375" customWidth="1"/>
    <col min="13" max="14" width="8.7109375" customWidth="1"/>
    <col min="15" max="15" width="9.7109375" customWidth="1"/>
  </cols>
  <sheetData>
    <row r="1" spans="1:15" ht="15" customHeight="1" x14ac:dyDescent="0.2"/>
    <row r="2" spans="1:15" ht="15" customHeight="1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6"/>
      <c r="N2" s="6"/>
      <c r="O2" s="6"/>
    </row>
    <row r="3" spans="1:15" ht="20.25" x14ac:dyDescent="0.2">
      <c r="A3" s="821" t="s">
        <v>27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6"/>
      <c r="N3" s="6"/>
      <c r="O3" s="6"/>
    </row>
    <row r="4" spans="1:15" ht="15" customHeight="1" x14ac:dyDescent="0.2">
      <c r="A4" s="895" t="s">
        <v>47</v>
      </c>
      <c r="B4" s="895"/>
      <c r="C4" s="895"/>
      <c r="D4" s="895"/>
      <c r="E4" s="895"/>
      <c r="F4" s="895"/>
      <c r="G4" s="895"/>
      <c r="H4" s="895"/>
      <c r="I4" s="895"/>
      <c r="J4" s="74"/>
      <c r="K4" s="74"/>
      <c r="L4" s="74"/>
      <c r="M4" s="6"/>
      <c r="N4" s="6"/>
      <c r="O4" s="6"/>
    </row>
    <row r="5" spans="1:15" ht="20.25" x14ac:dyDescent="0.2">
      <c r="A5" s="822" t="s">
        <v>19</v>
      </c>
      <c r="B5" s="822"/>
      <c r="C5" s="822"/>
      <c r="D5" s="822"/>
      <c r="E5" s="822"/>
      <c r="F5" s="822"/>
      <c r="G5" s="822"/>
      <c r="H5" s="822"/>
      <c r="I5" s="822"/>
      <c r="J5" s="2"/>
      <c r="K5" s="2"/>
      <c r="L5" s="2"/>
      <c r="M5" s="6"/>
      <c r="N5" s="6"/>
      <c r="O5" s="6"/>
    </row>
    <row r="6" spans="1:15" ht="20.25" x14ac:dyDescent="0.2">
      <c r="A6" s="66"/>
      <c r="B6" s="66"/>
      <c r="C6" s="66"/>
      <c r="D6" s="66"/>
      <c r="E6" s="66"/>
      <c r="F6" s="66"/>
      <c r="G6" s="66"/>
      <c r="H6" s="66"/>
      <c r="I6" s="66"/>
      <c r="J6" s="2"/>
      <c r="K6" s="2"/>
      <c r="L6" s="2"/>
      <c r="M6" s="6"/>
      <c r="N6" s="6"/>
      <c r="O6" s="6"/>
    </row>
    <row r="7" spans="1:15" s="148" customFormat="1" ht="16.5" thickBot="1" x14ac:dyDescent="0.25">
      <c r="A7" s="145" t="s">
        <v>17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  <c r="N7" s="147"/>
      <c r="O7" s="147"/>
    </row>
    <row r="8" spans="1:15" ht="16.5" thickTop="1" thickBot="1" x14ac:dyDescent="0.25">
      <c r="A8" s="832" t="s">
        <v>24</v>
      </c>
      <c r="B8" s="833"/>
      <c r="C8" s="833"/>
      <c r="D8" s="833"/>
      <c r="E8" s="836" t="s">
        <v>5</v>
      </c>
      <c r="F8" s="837"/>
      <c r="G8" s="837"/>
      <c r="H8" s="837"/>
      <c r="I8" s="837"/>
      <c r="J8" s="837"/>
      <c r="K8" s="837"/>
      <c r="L8" s="837"/>
      <c r="M8" s="837"/>
      <c r="N8" s="837"/>
      <c r="O8" s="838"/>
    </row>
    <row r="9" spans="1:15" ht="17.25" thickTop="1" thickBot="1" x14ac:dyDescent="0.3">
      <c r="A9" s="834"/>
      <c r="B9" s="797"/>
      <c r="C9" s="797"/>
      <c r="D9" s="797"/>
      <c r="E9" s="823" t="s">
        <v>0</v>
      </c>
      <c r="F9" s="807"/>
      <c r="G9" s="807"/>
      <c r="H9" s="807"/>
      <c r="I9" s="823" t="s">
        <v>8</v>
      </c>
      <c r="J9" s="807"/>
      <c r="K9" s="807"/>
      <c r="L9" s="807"/>
      <c r="M9" s="807"/>
      <c r="N9" s="807"/>
      <c r="O9" s="808"/>
    </row>
    <row r="10" spans="1:15" ht="16.5" thickTop="1" x14ac:dyDescent="0.25">
      <c r="A10" s="834"/>
      <c r="B10" s="797"/>
      <c r="C10" s="797"/>
      <c r="D10" s="797"/>
      <c r="E10" s="839" t="s">
        <v>29</v>
      </c>
      <c r="F10" s="816"/>
      <c r="G10" s="840" t="s">
        <v>33</v>
      </c>
      <c r="H10" s="826"/>
      <c r="I10" s="841" t="s">
        <v>29</v>
      </c>
      <c r="J10" s="828"/>
      <c r="K10" s="842" t="s">
        <v>31</v>
      </c>
      <c r="L10" s="788"/>
      <c r="M10" s="788"/>
      <c r="N10" s="788"/>
      <c r="O10" s="843"/>
    </row>
    <row r="11" spans="1:15" ht="16.5" thickBot="1" x14ac:dyDescent="0.25">
      <c r="A11" s="835"/>
      <c r="B11" s="800"/>
      <c r="C11" s="800"/>
      <c r="D11" s="800"/>
      <c r="E11" s="16" t="s">
        <v>1</v>
      </c>
      <c r="F11" s="17" t="s">
        <v>2</v>
      </c>
      <c r="G11" s="18" t="s">
        <v>1</v>
      </c>
      <c r="H11" s="19" t="s">
        <v>2</v>
      </c>
      <c r="I11" s="18" t="s">
        <v>1</v>
      </c>
      <c r="J11" s="17" t="s">
        <v>2</v>
      </c>
      <c r="K11" s="18" t="s">
        <v>1</v>
      </c>
      <c r="L11" s="19" t="s">
        <v>2</v>
      </c>
      <c r="M11" s="89" t="s">
        <v>1</v>
      </c>
      <c r="N11" s="82" t="s">
        <v>1</v>
      </c>
      <c r="O11" s="21" t="s">
        <v>2</v>
      </c>
    </row>
    <row r="12" spans="1:15" ht="17.25" thickTop="1" thickBot="1" x14ac:dyDescent="0.3">
      <c r="A12" s="97" t="s">
        <v>4</v>
      </c>
      <c r="B12" s="134" t="s">
        <v>21</v>
      </c>
      <c r="C12" s="76" t="s">
        <v>22</v>
      </c>
      <c r="D12" s="77" t="s">
        <v>23</v>
      </c>
      <c r="E12" s="829" t="s">
        <v>9</v>
      </c>
      <c r="F12" s="830"/>
      <c r="G12" s="830"/>
      <c r="H12" s="830"/>
      <c r="I12" s="830"/>
      <c r="J12" s="830"/>
      <c r="K12" s="830"/>
      <c r="L12" s="831"/>
      <c r="M12" s="204" t="s">
        <v>6</v>
      </c>
      <c r="N12" s="8" t="s">
        <v>7</v>
      </c>
      <c r="O12" s="22"/>
    </row>
    <row r="13" spans="1:15" ht="15.75" x14ac:dyDescent="0.25">
      <c r="A13" s="98">
        <v>1</v>
      </c>
      <c r="B13" s="23">
        <v>60</v>
      </c>
      <c r="C13" s="24">
        <v>240</v>
      </c>
      <c r="D13" s="49">
        <v>590</v>
      </c>
      <c r="E13" s="103" t="s">
        <v>3</v>
      </c>
      <c r="F13" s="104" t="s">
        <v>3</v>
      </c>
      <c r="G13" s="105" t="e">
        <f>SUM(#REF!*0.8)</f>
        <v>#REF!</v>
      </c>
      <c r="H13" s="106" t="e">
        <f>SUM(#REF!*0.8)</f>
        <v>#REF!</v>
      </c>
      <c r="I13" s="105" t="e">
        <f>SUM(#REF!*0.8)</f>
        <v>#REF!</v>
      </c>
      <c r="J13" s="107" t="e">
        <f>SUM(#REF!*0.8)</f>
        <v>#REF!</v>
      </c>
      <c r="K13" s="105" t="e">
        <f>SUM(#REF!*0.8)</f>
        <v>#REF!</v>
      </c>
      <c r="L13" s="106" t="e">
        <f>SUM(#REF!*0.8)</f>
        <v>#REF!</v>
      </c>
      <c r="M13" s="117" t="s">
        <v>3</v>
      </c>
      <c r="N13" s="136" t="s">
        <v>3</v>
      </c>
      <c r="O13" s="29" t="s">
        <v>3</v>
      </c>
    </row>
    <row r="14" spans="1:15" ht="15.75" x14ac:dyDescent="0.25">
      <c r="A14" s="99">
        <v>2</v>
      </c>
      <c r="B14" s="30">
        <v>80</v>
      </c>
      <c r="C14" s="31">
        <v>240</v>
      </c>
      <c r="D14" s="33">
        <v>590</v>
      </c>
      <c r="E14" s="38" t="s">
        <v>3</v>
      </c>
      <c r="F14" s="87" t="s">
        <v>3</v>
      </c>
      <c r="G14" s="36" t="e">
        <f>SUM(#REF!*0.8)</f>
        <v>#REF!</v>
      </c>
      <c r="H14" s="35" t="e">
        <f>SUM(#REF!*0.8)</f>
        <v>#REF!</v>
      </c>
      <c r="I14" s="36" t="e">
        <f>SUM(#REF!*0.8)</f>
        <v>#REF!</v>
      </c>
      <c r="J14" s="39" t="e">
        <f>SUM(#REF!*0.8)</f>
        <v>#REF!</v>
      </c>
      <c r="K14" s="36" t="e">
        <f>SUM(#REF!*0.8)</f>
        <v>#REF!</v>
      </c>
      <c r="L14" s="35" t="e">
        <f>SUM(#REF!*0.8)</f>
        <v>#REF!</v>
      </c>
      <c r="M14" s="38" t="s">
        <v>3</v>
      </c>
      <c r="N14" s="88" t="s">
        <v>3</v>
      </c>
      <c r="O14" s="40" t="s">
        <v>3</v>
      </c>
    </row>
    <row r="15" spans="1:15" ht="15.75" x14ac:dyDescent="0.25">
      <c r="A15" s="99">
        <v>3</v>
      </c>
      <c r="B15" s="30">
        <v>100</v>
      </c>
      <c r="C15" s="31">
        <v>240</v>
      </c>
      <c r="D15" s="33">
        <v>590</v>
      </c>
      <c r="E15" s="38" t="e">
        <f>SUM(#REF!*0.8)</f>
        <v>#REF!</v>
      </c>
      <c r="F15" s="39" t="e">
        <f>SUM(#REF!*0.8)</f>
        <v>#REF!</v>
      </c>
      <c r="G15" s="36" t="e">
        <f>SUM(#REF!*0.8)</f>
        <v>#REF!</v>
      </c>
      <c r="H15" s="35" t="e">
        <f>SUM(#REF!*0.8)</f>
        <v>#REF!</v>
      </c>
      <c r="I15" s="36" t="e">
        <f>SUM(#REF!*0.8)</f>
        <v>#REF!</v>
      </c>
      <c r="J15" s="116" t="e">
        <f>SUM(#REF!*0.8)</f>
        <v>#REF!</v>
      </c>
      <c r="K15" s="34" t="e">
        <f>SUM(#REF!*0.8)</f>
        <v>#REF!</v>
      </c>
      <c r="L15" s="35" t="e">
        <f>SUM(#REF!*0.8)</f>
        <v>#REF!</v>
      </c>
      <c r="M15" s="38" t="s">
        <v>3</v>
      </c>
      <c r="N15" s="88" t="s">
        <v>3</v>
      </c>
      <c r="O15" s="40" t="s">
        <v>3</v>
      </c>
    </row>
    <row r="16" spans="1:15" s="1" customFormat="1" ht="15.75" x14ac:dyDescent="0.25">
      <c r="A16" s="101">
        <v>4</v>
      </c>
      <c r="B16" s="30">
        <v>120</v>
      </c>
      <c r="C16" s="109">
        <v>240</v>
      </c>
      <c r="D16" s="125">
        <v>590</v>
      </c>
      <c r="E16" s="111" t="e">
        <f>SUM(#REF!*0.8)</f>
        <v>#REF!</v>
      </c>
      <c r="F16" s="112" t="e">
        <f>SUM(#REF!*0.8)</f>
        <v>#REF!</v>
      </c>
      <c r="G16" s="113" t="e">
        <f>SUM(#REF!*0.8)</f>
        <v>#REF!</v>
      </c>
      <c r="H16" s="114" t="e">
        <f>SUM(#REF!*0.8)</f>
        <v>#REF!</v>
      </c>
      <c r="I16" s="113" t="e">
        <f>SUM(#REF!*0.8)</f>
        <v>#REF!</v>
      </c>
      <c r="J16" s="112" t="e">
        <f>SUM(#REF!*0.8)</f>
        <v>#REF!</v>
      </c>
      <c r="K16" s="113" t="e">
        <f>SUM(#REF!*0.8)</f>
        <v>#REF!</v>
      </c>
      <c r="L16" s="114" t="e">
        <f>SUM(#REF!*0.8)</f>
        <v>#REF!</v>
      </c>
      <c r="M16" s="111" t="s">
        <v>3</v>
      </c>
      <c r="N16" s="135" t="s">
        <v>3</v>
      </c>
      <c r="O16" s="133" t="s">
        <v>3</v>
      </c>
    </row>
    <row r="17" spans="1:15" ht="15.75" x14ac:dyDescent="0.25">
      <c r="A17" s="99">
        <v>5</v>
      </c>
      <c r="B17" s="30">
        <v>180</v>
      </c>
      <c r="C17" s="31">
        <v>240</v>
      </c>
      <c r="D17" s="33">
        <v>590</v>
      </c>
      <c r="E17" s="38" t="e">
        <f>SUM(#REF!*0.8)</f>
        <v>#REF!</v>
      </c>
      <c r="F17" s="39" t="e">
        <f>SUM(#REF!*0.8)</f>
        <v>#REF!</v>
      </c>
      <c r="G17" s="36" t="e">
        <f>SUM(#REF!*0.8)</f>
        <v>#REF!</v>
      </c>
      <c r="H17" s="35" t="e">
        <f>SUM(#REF!*0.8)</f>
        <v>#REF!</v>
      </c>
      <c r="I17" s="36" t="e">
        <f>SUM(#REF!*0.8)</f>
        <v>#REF!</v>
      </c>
      <c r="J17" s="39" t="e">
        <f>SUM(#REF!*0.8)</f>
        <v>#REF!</v>
      </c>
      <c r="K17" s="96" t="e">
        <f>SUM(#REF!*0.8)</f>
        <v>#REF!</v>
      </c>
      <c r="L17" s="35" t="e">
        <f>SUM(#REF!*0.8)</f>
        <v>#REF!</v>
      </c>
      <c r="M17" s="142" t="e">
        <f>SUM(#REF!*0.8)</f>
        <v>#REF!</v>
      </c>
      <c r="N17" s="88" t="s">
        <v>3</v>
      </c>
      <c r="O17" s="40" t="e">
        <f>SUM(#REF!*0.8)</f>
        <v>#REF!</v>
      </c>
    </row>
    <row r="18" spans="1:15" s="1" customFormat="1" ht="15.75" x14ac:dyDescent="0.25">
      <c r="A18" s="101">
        <v>6</v>
      </c>
      <c r="B18" s="30">
        <v>240</v>
      </c>
      <c r="C18" s="109">
        <v>240</v>
      </c>
      <c r="D18" s="125">
        <v>590</v>
      </c>
      <c r="E18" s="111" t="e">
        <f>SUM(#REF!*0.8)</f>
        <v>#REF!</v>
      </c>
      <c r="F18" s="112" t="e">
        <f>SUM(#REF!*0.8)</f>
        <v>#REF!</v>
      </c>
      <c r="G18" s="113" t="e">
        <f>SUM(#REF!*0.8)</f>
        <v>#REF!</v>
      </c>
      <c r="H18" s="114" t="e">
        <f>SUM(#REF!*0.8)</f>
        <v>#REF!</v>
      </c>
      <c r="I18" s="113" t="e">
        <f>SUM(#REF!*0.8)</f>
        <v>#REF!</v>
      </c>
      <c r="J18" s="112" t="e">
        <f>SUM(#REF!*0.8)</f>
        <v>#REF!</v>
      </c>
      <c r="K18" s="113" t="e">
        <f>SUM(#REF!*0.8)</f>
        <v>#REF!</v>
      </c>
      <c r="L18" s="114" t="e">
        <f>SUM(#REF!*0.8)</f>
        <v>#REF!</v>
      </c>
      <c r="M18" s="111" t="e">
        <f>SUM(#REF!*0.8)</f>
        <v>#REF!</v>
      </c>
      <c r="N18" s="135" t="s">
        <v>3</v>
      </c>
      <c r="O18" s="133" t="e">
        <f>SUM(#REF!*0.8)</f>
        <v>#REF!</v>
      </c>
    </row>
    <row r="19" spans="1:15" ht="15.75" x14ac:dyDescent="0.25">
      <c r="A19" s="99">
        <v>7</v>
      </c>
      <c r="B19" s="30">
        <v>300</v>
      </c>
      <c r="C19" s="31">
        <v>240</v>
      </c>
      <c r="D19" s="33">
        <v>590</v>
      </c>
      <c r="E19" s="38" t="e">
        <f>SUM(#REF!*0.8)</f>
        <v>#REF!</v>
      </c>
      <c r="F19" s="39" t="e">
        <f>SUM(#REF!*0.8)</f>
        <v>#REF!</v>
      </c>
      <c r="G19" s="36" t="e">
        <f>SUM(#REF!*0.8)</f>
        <v>#REF!</v>
      </c>
      <c r="H19" s="35" t="e">
        <f>SUM(#REF!*0.8)</f>
        <v>#REF!</v>
      </c>
      <c r="I19" s="36" t="e">
        <f>SUM(#REF!*0.8)</f>
        <v>#REF!</v>
      </c>
      <c r="J19" s="39" t="e">
        <f>SUM(#REF!*0.8)</f>
        <v>#REF!</v>
      </c>
      <c r="K19" s="36" t="e">
        <f>SUM(#REF!*0.8)</f>
        <v>#REF!</v>
      </c>
      <c r="L19" s="35" t="e">
        <f>SUM(#REF!*0.8)</f>
        <v>#REF!</v>
      </c>
      <c r="M19" s="38" t="e">
        <f>SUM(#REF!*0.8)</f>
        <v>#REF!</v>
      </c>
      <c r="N19" s="88" t="e">
        <f>SUM(#REF!*0.8)</f>
        <v>#REF!</v>
      </c>
      <c r="O19" s="40" t="e">
        <f>SUM(#REF!*0.8)</f>
        <v>#REF!</v>
      </c>
    </row>
    <row r="20" spans="1:15" ht="15.75" x14ac:dyDescent="0.25">
      <c r="A20" s="99">
        <v>8</v>
      </c>
      <c r="B20" s="30">
        <v>360</v>
      </c>
      <c r="C20" s="31">
        <v>240</v>
      </c>
      <c r="D20" s="33">
        <v>590</v>
      </c>
      <c r="E20" s="38" t="e">
        <f>SUM(#REF!*0.8)</f>
        <v>#REF!</v>
      </c>
      <c r="F20" s="39" t="e">
        <f>SUM(#REF!*0.8)</f>
        <v>#REF!</v>
      </c>
      <c r="G20" s="36" t="e">
        <f>SUM(#REF!*0.8)</f>
        <v>#REF!</v>
      </c>
      <c r="H20" s="35" t="e">
        <f>SUM(#REF!*0.8)</f>
        <v>#REF!</v>
      </c>
      <c r="I20" s="36" t="e">
        <f>SUM(#REF!*0.8)</f>
        <v>#REF!</v>
      </c>
      <c r="J20" s="39" t="e">
        <f>SUM(#REF!*0.8)</f>
        <v>#REF!</v>
      </c>
      <c r="K20" s="36" t="e">
        <f>SUM(#REF!*0.8)</f>
        <v>#REF!</v>
      </c>
      <c r="L20" s="35" t="e">
        <f>SUM(#REF!*0.8)</f>
        <v>#REF!</v>
      </c>
      <c r="M20" s="38" t="e">
        <f>SUM(#REF!*0.8)</f>
        <v>#REF!</v>
      </c>
      <c r="N20" s="88" t="e">
        <f>SUM(#REF!*0.8)</f>
        <v>#REF!</v>
      </c>
      <c r="O20" s="40" t="e">
        <f>SUM(#REF!*0.8)</f>
        <v>#REF!</v>
      </c>
    </row>
    <row r="21" spans="1:15" ht="16.5" thickBot="1" x14ac:dyDescent="0.3">
      <c r="A21" s="102">
        <v>9</v>
      </c>
      <c r="B21" s="41">
        <v>420</v>
      </c>
      <c r="C21" s="42">
        <v>240</v>
      </c>
      <c r="D21" s="43">
        <v>590</v>
      </c>
      <c r="E21" s="44" t="e">
        <f>SUM(#REF!*0.8)</f>
        <v>#REF!</v>
      </c>
      <c r="F21" s="47" t="e">
        <f>SUM(#REF!*0.8)</f>
        <v>#REF!</v>
      </c>
      <c r="G21" s="46" t="e">
        <f>SUM(#REF!*0.8)</f>
        <v>#REF!</v>
      </c>
      <c r="H21" s="45" t="e">
        <f>SUM(#REF!*0.8)</f>
        <v>#REF!</v>
      </c>
      <c r="I21" s="46" t="e">
        <f>SUM(#REF!*0.8)</f>
        <v>#REF!</v>
      </c>
      <c r="J21" s="47" t="e">
        <f>SUM(#REF!*0.8)</f>
        <v>#REF!</v>
      </c>
      <c r="K21" s="46" t="e">
        <f>SUM(#REF!*0.8)</f>
        <v>#REF!</v>
      </c>
      <c r="L21" s="45" t="e">
        <f>SUM(#REF!*0.8)</f>
        <v>#REF!</v>
      </c>
      <c r="M21" s="44" t="e">
        <f>SUM(#REF!*0.8)</f>
        <v>#REF!</v>
      </c>
      <c r="N21" s="93" t="e">
        <f>SUM(#REF!*0.8)</f>
        <v>#REF!</v>
      </c>
      <c r="O21" s="48" t="e">
        <f>SUM(#REF!*0.8)</f>
        <v>#REF!</v>
      </c>
    </row>
    <row r="22" spans="1:15" ht="15.75" thickTop="1" x14ac:dyDescent="0.2">
      <c r="A22" s="11"/>
      <c r="B22" s="11"/>
      <c r="C22" s="11"/>
      <c r="D22" s="11"/>
      <c r="E22" s="12"/>
      <c r="F22" s="12"/>
      <c r="G22" s="12"/>
      <c r="H22" s="12"/>
      <c r="I22" s="12"/>
      <c r="J22" s="11"/>
      <c r="K22" s="12"/>
      <c r="L22" s="12"/>
      <c r="M22" s="12"/>
      <c r="N22" s="12"/>
      <c r="O22" s="12"/>
    </row>
    <row r="23" spans="1:15" ht="15" x14ac:dyDescent="0.2">
      <c r="A23" s="11"/>
      <c r="B23" s="11"/>
      <c r="C23" s="11"/>
      <c r="D23" s="11"/>
      <c r="E23" s="12"/>
      <c r="F23" s="12"/>
      <c r="G23" s="12"/>
      <c r="H23" s="12"/>
      <c r="I23" s="12"/>
      <c r="J23" s="11"/>
      <c r="K23" s="12"/>
      <c r="L23" s="12"/>
      <c r="M23" s="12"/>
      <c r="N23" s="12"/>
      <c r="O23" s="12"/>
    </row>
    <row r="24" spans="1:15" ht="15.75" thickBot="1" x14ac:dyDescent="0.25">
      <c r="A24" s="11"/>
      <c r="B24" s="11"/>
      <c r="C24" s="11"/>
      <c r="D24" s="11"/>
      <c r="E24" s="12"/>
      <c r="F24" s="12"/>
      <c r="G24" s="12"/>
      <c r="H24" s="12"/>
      <c r="I24" s="12"/>
      <c r="J24" s="11"/>
      <c r="K24" s="12"/>
      <c r="L24" s="12"/>
      <c r="M24" s="12"/>
      <c r="N24" s="12"/>
      <c r="O24" s="12"/>
    </row>
    <row r="25" spans="1:15" ht="16.5" thickTop="1" thickBot="1" x14ac:dyDescent="0.25">
      <c r="A25" s="832" t="s">
        <v>24</v>
      </c>
      <c r="B25" s="833"/>
      <c r="C25" s="833"/>
      <c r="D25" s="833"/>
      <c r="E25" s="836" t="s">
        <v>10</v>
      </c>
      <c r="F25" s="837"/>
      <c r="G25" s="837"/>
      <c r="H25" s="837"/>
      <c r="I25" s="837"/>
      <c r="J25" s="837"/>
      <c r="K25" s="837"/>
      <c r="L25" s="837"/>
      <c r="M25" s="837"/>
      <c r="N25" s="837"/>
      <c r="O25" s="838"/>
    </row>
    <row r="26" spans="1:15" ht="17.25" thickTop="1" thickBot="1" x14ac:dyDescent="0.3">
      <c r="A26" s="834"/>
      <c r="B26" s="797"/>
      <c r="C26" s="797"/>
      <c r="D26" s="797"/>
      <c r="E26" s="823" t="s">
        <v>0</v>
      </c>
      <c r="F26" s="807"/>
      <c r="G26" s="807"/>
      <c r="H26" s="807"/>
      <c r="I26" s="823" t="s">
        <v>8</v>
      </c>
      <c r="J26" s="807"/>
      <c r="K26" s="807"/>
      <c r="L26" s="807"/>
      <c r="M26" s="807"/>
      <c r="N26" s="807"/>
      <c r="O26" s="808"/>
    </row>
    <row r="27" spans="1:15" ht="16.5" thickTop="1" x14ac:dyDescent="0.25">
      <c r="A27" s="834"/>
      <c r="B27" s="797"/>
      <c r="C27" s="797"/>
      <c r="D27" s="797"/>
      <c r="E27" s="839" t="s">
        <v>29</v>
      </c>
      <c r="F27" s="816"/>
      <c r="G27" s="840" t="s">
        <v>34</v>
      </c>
      <c r="H27" s="826"/>
      <c r="I27" s="841" t="s">
        <v>30</v>
      </c>
      <c r="J27" s="828"/>
      <c r="K27" s="842" t="s">
        <v>35</v>
      </c>
      <c r="L27" s="788"/>
      <c r="M27" s="788"/>
      <c r="N27" s="788"/>
      <c r="O27" s="843"/>
    </row>
    <row r="28" spans="1:15" ht="16.5" thickBot="1" x14ac:dyDescent="0.25">
      <c r="A28" s="835"/>
      <c r="B28" s="800"/>
      <c r="C28" s="800"/>
      <c r="D28" s="800"/>
      <c r="E28" s="16" t="s">
        <v>1</v>
      </c>
      <c r="F28" s="17" t="s">
        <v>2</v>
      </c>
      <c r="G28" s="18" t="s">
        <v>1</v>
      </c>
      <c r="H28" s="19" t="s">
        <v>2</v>
      </c>
      <c r="I28" s="18" t="s">
        <v>1</v>
      </c>
      <c r="J28" s="17" t="s">
        <v>2</v>
      </c>
      <c r="K28" s="18" t="s">
        <v>1</v>
      </c>
      <c r="L28" s="19" t="s">
        <v>2</v>
      </c>
      <c r="M28" s="89" t="s">
        <v>1</v>
      </c>
      <c r="N28" s="82" t="s">
        <v>1</v>
      </c>
      <c r="O28" s="21" t="s">
        <v>2</v>
      </c>
    </row>
    <row r="29" spans="1:15" ht="17.25" thickTop="1" thickBot="1" x14ac:dyDescent="0.3">
      <c r="A29" s="97" t="s">
        <v>4</v>
      </c>
      <c r="B29" s="134" t="s">
        <v>21</v>
      </c>
      <c r="C29" s="76" t="s">
        <v>22</v>
      </c>
      <c r="D29" s="77" t="s">
        <v>23</v>
      </c>
      <c r="E29" s="829" t="s">
        <v>9</v>
      </c>
      <c r="F29" s="830"/>
      <c r="G29" s="830"/>
      <c r="H29" s="830"/>
      <c r="I29" s="830"/>
      <c r="J29" s="830"/>
      <c r="K29" s="830"/>
      <c r="L29" s="831"/>
      <c r="M29" s="204" t="s">
        <v>6</v>
      </c>
      <c r="N29" s="8" t="s">
        <v>7</v>
      </c>
      <c r="O29" s="22"/>
    </row>
    <row r="30" spans="1:15" ht="15.75" x14ac:dyDescent="0.25">
      <c r="A30" s="98">
        <v>1</v>
      </c>
      <c r="B30" s="23">
        <v>60</v>
      </c>
      <c r="C30" s="24">
        <v>240</v>
      </c>
      <c r="D30" s="49">
        <v>590</v>
      </c>
      <c r="E30" s="117" t="s">
        <v>3</v>
      </c>
      <c r="F30" s="104" t="s">
        <v>3</v>
      </c>
      <c r="G30" s="105" t="e">
        <f>SUM(#REF!*0.8)</f>
        <v>#REF!</v>
      </c>
      <c r="H30" s="106" t="e">
        <f>SUM(#REF!*0.8)</f>
        <v>#REF!</v>
      </c>
      <c r="I30" s="105" t="e">
        <f>SUM(#REF!*0.8)</f>
        <v>#REF!</v>
      </c>
      <c r="J30" s="107" t="e">
        <f>SUM(#REF!*0.8)</f>
        <v>#REF!</v>
      </c>
      <c r="K30" s="105" t="e">
        <f>SUM(#REF!*0.8)</f>
        <v>#REF!</v>
      </c>
      <c r="L30" s="106" t="e">
        <f>SUM(#REF!*0.8)</f>
        <v>#REF!</v>
      </c>
      <c r="M30" s="117" t="s">
        <v>3</v>
      </c>
      <c r="N30" s="136" t="s">
        <v>3</v>
      </c>
      <c r="O30" s="29" t="s">
        <v>3</v>
      </c>
    </row>
    <row r="31" spans="1:15" ht="15.75" x14ac:dyDescent="0.25">
      <c r="A31" s="99">
        <v>2</v>
      </c>
      <c r="B31" s="30">
        <v>80</v>
      </c>
      <c r="C31" s="31">
        <v>240</v>
      </c>
      <c r="D31" s="50">
        <v>590</v>
      </c>
      <c r="E31" s="38" t="s">
        <v>3</v>
      </c>
      <c r="F31" s="87" t="s">
        <v>3</v>
      </c>
      <c r="G31" s="36" t="e">
        <f>SUM(#REF!*0.8)</f>
        <v>#REF!</v>
      </c>
      <c r="H31" s="35" t="e">
        <f>SUM(#REF!*0.8)</f>
        <v>#REF!</v>
      </c>
      <c r="I31" s="36" t="e">
        <f>SUM(#REF!*0.8)</f>
        <v>#REF!</v>
      </c>
      <c r="J31" s="39" t="e">
        <f>SUM(#REF!*0.8)</f>
        <v>#REF!</v>
      </c>
      <c r="K31" s="36" t="e">
        <f>SUM(#REF!*0.8)</f>
        <v>#REF!</v>
      </c>
      <c r="L31" s="35" t="e">
        <f>SUM(#REF!*0.8)</f>
        <v>#REF!</v>
      </c>
      <c r="M31" s="38" t="s">
        <v>3</v>
      </c>
      <c r="N31" s="88" t="s">
        <v>3</v>
      </c>
      <c r="O31" s="40" t="s">
        <v>3</v>
      </c>
    </row>
    <row r="32" spans="1:15" ht="15.75" x14ac:dyDescent="0.25">
      <c r="A32" s="99">
        <v>3</v>
      </c>
      <c r="B32" s="30">
        <v>100</v>
      </c>
      <c r="C32" s="31">
        <v>240</v>
      </c>
      <c r="D32" s="51">
        <v>590</v>
      </c>
      <c r="E32" s="38" t="e">
        <f>SUM(#REF!*0.8)</f>
        <v>#REF!</v>
      </c>
      <c r="F32" s="39" t="e">
        <f>SUM(#REF!*0.8)</f>
        <v>#REF!</v>
      </c>
      <c r="G32" s="36" t="e">
        <f>SUM(#REF!*0.8)</f>
        <v>#REF!</v>
      </c>
      <c r="H32" s="35" t="e">
        <f>SUM(#REF!*0.8)</f>
        <v>#REF!</v>
      </c>
      <c r="I32" s="36" t="e">
        <f>SUM(#REF!*0.8)</f>
        <v>#REF!</v>
      </c>
      <c r="J32" s="39" t="e">
        <f>SUM(#REF!*0.8)</f>
        <v>#REF!</v>
      </c>
      <c r="K32" s="36" t="e">
        <f>SUM(#REF!*0.8)</f>
        <v>#REF!</v>
      </c>
      <c r="L32" s="35" t="e">
        <f>SUM(#REF!*0.8)</f>
        <v>#REF!</v>
      </c>
      <c r="M32" s="38" t="s">
        <v>3</v>
      </c>
      <c r="N32" s="88" t="s">
        <v>3</v>
      </c>
      <c r="O32" s="108" t="s">
        <v>3</v>
      </c>
    </row>
    <row r="33" spans="1:15" s="1" customFormat="1" ht="15.75" x14ac:dyDescent="0.25">
      <c r="A33" s="101">
        <v>4</v>
      </c>
      <c r="B33" s="30">
        <v>120</v>
      </c>
      <c r="C33" s="109">
        <v>240</v>
      </c>
      <c r="D33" s="110">
        <v>590</v>
      </c>
      <c r="E33" s="111" t="e">
        <f>SUM(#REF!*0.8)</f>
        <v>#REF!</v>
      </c>
      <c r="F33" s="112" t="e">
        <f>SUM(#REF!*0.8)</f>
        <v>#REF!</v>
      </c>
      <c r="G33" s="113" t="e">
        <f>SUM(#REF!*0.8)</f>
        <v>#REF!</v>
      </c>
      <c r="H33" s="114" t="e">
        <f>SUM(#REF!*0.8)</f>
        <v>#REF!</v>
      </c>
      <c r="I33" s="113" t="e">
        <f>SUM(#REF!*0.8)</f>
        <v>#REF!</v>
      </c>
      <c r="J33" s="112" t="e">
        <f>SUM(#REF!*0.8)</f>
        <v>#REF!</v>
      </c>
      <c r="K33" s="113" t="e">
        <f>SUM(#REF!*0.8)</f>
        <v>#REF!</v>
      </c>
      <c r="L33" s="114" t="e">
        <f>SUM(#REF!*0.8)</f>
        <v>#REF!</v>
      </c>
      <c r="M33" s="143" t="s">
        <v>3</v>
      </c>
      <c r="N33" s="137" t="s">
        <v>3</v>
      </c>
      <c r="O33" s="118" t="s">
        <v>3</v>
      </c>
    </row>
    <row r="34" spans="1:15" ht="15.75" x14ac:dyDescent="0.25">
      <c r="A34" s="99">
        <v>5</v>
      </c>
      <c r="B34" s="30">
        <v>180</v>
      </c>
      <c r="C34" s="31">
        <v>240</v>
      </c>
      <c r="D34" s="51">
        <v>590</v>
      </c>
      <c r="E34" s="38" t="e">
        <f>SUM(#REF!*0.8)</f>
        <v>#REF!</v>
      </c>
      <c r="F34" s="39" t="e">
        <f>SUM(#REF!*0.8)</f>
        <v>#REF!</v>
      </c>
      <c r="G34" s="36" t="e">
        <f>SUM(#REF!*0.8)</f>
        <v>#REF!</v>
      </c>
      <c r="H34" s="35" t="e">
        <f>SUM(#REF!*0.8)</f>
        <v>#REF!</v>
      </c>
      <c r="I34" s="36" t="e">
        <f>SUM(#REF!*0.8)</f>
        <v>#REF!</v>
      </c>
      <c r="J34" s="39" t="e">
        <f>SUM(#REF!*0.8)</f>
        <v>#REF!</v>
      </c>
      <c r="K34" s="36" t="e">
        <f>SUM(#REF!*0.8)</f>
        <v>#REF!</v>
      </c>
      <c r="L34" s="35" t="e">
        <f>SUM(#REF!*0.8)</f>
        <v>#REF!</v>
      </c>
      <c r="M34" s="38" t="e">
        <f>SUM(#REF!*0.8)</f>
        <v>#REF!</v>
      </c>
      <c r="N34" s="88" t="s">
        <v>3</v>
      </c>
      <c r="O34" s="108" t="e">
        <f>SUM(#REF!*0.8)</f>
        <v>#REF!</v>
      </c>
    </row>
    <row r="35" spans="1:15" s="1" customFormat="1" ht="15.75" x14ac:dyDescent="0.25">
      <c r="A35" s="101">
        <v>6</v>
      </c>
      <c r="B35" s="30">
        <v>240</v>
      </c>
      <c r="C35" s="109">
        <v>240</v>
      </c>
      <c r="D35" s="110">
        <v>590</v>
      </c>
      <c r="E35" s="111" t="e">
        <f>SUM(#REF!*0.8)</f>
        <v>#REF!</v>
      </c>
      <c r="F35" s="112" t="e">
        <f>SUM(#REF!*0.8)</f>
        <v>#REF!</v>
      </c>
      <c r="G35" s="113" t="e">
        <f>SUM(#REF!*0.8)</f>
        <v>#REF!</v>
      </c>
      <c r="H35" s="114" t="e">
        <f>SUM(#REF!*0.8)</f>
        <v>#REF!</v>
      </c>
      <c r="I35" s="113" t="e">
        <f>SUM(#REF!*0.8)</f>
        <v>#REF!</v>
      </c>
      <c r="J35" s="112" t="e">
        <f>SUM(#REF!*0.8)</f>
        <v>#REF!</v>
      </c>
      <c r="K35" s="113" t="e">
        <f>SUM(#REF!*0.8)</f>
        <v>#REF!</v>
      </c>
      <c r="L35" s="114" t="e">
        <f>SUM(#REF!*0.8)</f>
        <v>#REF!</v>
      </c>
      <c r="M35" s="144" t="e">
        <f>SUM(#REF!*0.8)</f>
        <v>#REF!</v>
      </c>
      <c r="N35" s="138" t="s">
        <v>3</v>
      </c>
      <c r="O35" s="140" t="e">
        <f>SUM(#REF!*0.8)</f>
        <v>#REF!</v>
      </c>
    </row>
    <row r="36" spans="1:15" ht="15.75" x14ac:dyDescent="0.25">
      <c r="A36" s="99">
        <v>7</v>
      </c>
      <c r="B36" s="30">
        <v>300</v>
      </c>
      <c r="C36" s="31">
        <v>240</v>
      </c>
      <c r="D36" s="51">
        <v>590</v>
      </c>
      <c r="E36" s="38" t="e">
        <f>SUM(#REF!*0.8)</f>
        <v>#REF!</v>
      </c>
      <c r="F36" s="39" t="e">
        <f>SUM(#REF!*0.8)</f>
        <v>#REF!</v>
      </c>
      <c r="G36" s="36" t="e">
        <f>SUM(#REF!*0.8)</f>
        <v>#REF!</v>
      </c>
      <c r="H36" s="35" t="e">
        <f>SUM(#REF!*0.8)</f>
        <v>#REF!</v>
      </c>
      <c r="I36" s="36" t="e">
        <f>SUM(#REF!*0.8)</f>
        <v>#REF!</v>
      </c>
      <c r="J36" s="39" t="e">
        <f>SUM(#REF!*0.8)</f>
        <v>#REF!</v>
      </c>
      <c r="K36" s="36" t="e">
        <f>SUM(#REF!*0.8)</f>
        <v>#REF!</v>
      </c>
      <c r="L36" s="35" t="e">
        <f>SUM(#REF!*0.8)</f>
        <v>#REF!</v>
      </c>
      <c r="M36" s="38" t="e">
        <f>SUM(#REF!*0.8)</f>
        <v>#REF!</v>
      </c>
      <c r="N36" s="88" t="e">
        <f>SUM(#REF!*0.8)</f>
        <v>#REF!</v>
      </c>
      <c r="O36" s="108" t="e">
        <f>SUM(#REF!*0.8)</f>
        <v>#REF!</v>
      </c>
    </row>
    <row r="37" spans="1:15" ht="15.75" x14ac:dyDescent="0.25">
      <c r="A37" s="99">
        <v>8</v>
      </c>
      <c r="B37" s="30">
        <v>360</v>
      </c>
      <c r="C37" s="31">
        <v>240</v>
      </c>
      <c r="D37" s="51">
        <v>590</v>
      </c>
      <c r="E37" s="38" t="e">
        <f>SUM(#REF!*0.8)</f>
        <v>#REF!</v>
      </c>
      <c r="F37" s="39" t="e">
        <f>SUM(#REF!*0.8)</f>
        <v>#REF!</v>
      </c>
      <c r="G37" s="36" t="e">
        <f>SUM(#REF!*0.8)</f>
        <v>#REF!</v>
      </c>
      <c r="H37" s="35" t="e">
        <f>SUM(#REF!*0.8)</f>
        <v>#REF!</v>
      </c>
      <c r="I37" s="36" t="e">
        <f>SUM(#REF!*0.8)</f>
        <v>#REF!</v>
      </c>
      <c r="J37" s="39" t="e">
        <f>SUM(#REF!*0.8)</f>
        <v>#REF!</v>
      </c>
      <c r="K37" s="36" t="e">
        <f>SUM(#REF!*0.8)</f>
        <v>#REF!</v>
      </c>
      <c r="L37" s="35" t="e">
        <f>SUM(#REF!*0.8)</f>
        <v>#REF!</v>
      </c>
      <c r="M37" s="78" t="e">
        <f>SUM(#REF!*0.8)</f>
        <v>#REF!</v>
      </c>
      <c r="N37" s="139" t="e">
        <f>SUM(#REF!*0.8)</f>
        <v>#REF!</v>
      </c>
      <c r="O37" s="108" t="e">
        <f>SUM(#REF!*0.8)</f>
        <v>#REF!</v>
      </c>
    </row>
    <row r="38" spans="1:15" ht="16.5" thickBot="1" x14ac:dyDescent="0.3">
      <c r="A38" s="102">
        <v>9</v>
      </c>
      <c r="B38" s="41">
        <v>420</v>
      </c>
      <c r="C38" s="42">
        <v>240</v>
      </c>
      <c r="D38" s="52">
        <v>590</v>
      </c>
      <c r="E38" s="119" t="e">
        <f>SUM(#REF!*0.8)</f>
        <v>#REF!</v>
      </c>
      <c r="F38" s="120" t="e">
        <f>SUM(#REF!*0.8)</f>
        <v>#REF!</v>
      </c>
      <c r="G38" s="121" t="e">
        <f>SUM(#REF!*0.8)</f>
        <v>#REF!</v>
      </c>
      <c r="H38" s="122" t="e">
        <f>SUM(#REF!*0.8)</f>
        <v>#REF!</v>
      </c>
      <c r="I38" s="121" t="e">
        <f>SUM(#REF!*0.8)</f>
        <v>#REF!</v>
      </c>
      <c r="J38" s="120" t="e">
        <f>SUM(#REF!*0.8)</f>
        <v>#REF!</v>
      </c>
      <c r="K38" s="121" t="e">
        <f>SUM(#REF!*0.8)</f>
        <v>#REF!</v>
      </c>
      <c r="L38" s="122" t="e">
        <f>SUM(#REF!*0.8)</f>
        <v>#REF!</v>
      </c>
      <c r="M38" s="44" t="e">
        <f>SUM(#REF!*0.8)</f>
        <v>#REF!</v>
      </c>
      <c r="N38" s="93" t="e">
        <f>SUM(#REF!*0.8)</f>
        <v>#REF!</v>
      </c>
      <c r="O38" s="141" t="e">
        <f>SUM(#REF!*0.8)</f>
        <v>#REF!</v>
      </c>
    </row>
    <row r="39" spans="1:15" ht="15.75" thickTop="1" x14ac:dyDescent="0.2">
      <c r="A39" s="11"/>
      <c r="B39" s="11"/>
      <c r="C39" s="11"/>
      <c r="D39" s="11"/>
      <c r="E39" s="12"/>
      <c r="F39" s="12"/>
      <c r="G39" s="12"/>
      <c r="H39" s="12"/>
      <c r="I39" s="12"/>
      <c r="J39" s="11"/>
      <c r="K39" s="12"/>
      <c r="L39" s="12"/>
      <c r="M39" s="12"/>
      <c r="N39" s="12"/>
      <c r="O39" s="90"/>
    </row>
    <row r="40" spans="1:15" ht="15" x14ac:dyDescent="0.2">
      <c r="A40" s="11"/>
      <c r="B40" s="11"/>
      <c r="C40" s="11"/>
      <c r="D40" s="11"/>
      <c r="E40" s="12"/>
      <c r="F40" s="12"/>
      <c r="G40" s="12"/>
      <c r="H40" s="12"/>
      <c r="I40" s="12"/>
      <c r="J40" s="11"/>
      <c r="K40" s="12"/>
      <c r="L40" s="12"/>
      <c r="M40" s="12"/>
      <c r="N40" s="12"/>
      <c r="O40" s="12"/>
    </row>
    <row r="41" spans="1:15" s="10" customFormat="1" ht="16.5" customHeight="1" thickBot="1" x14ac:dyDescent="0.35">
      <c r="A41" s="53" t="s">
        <v>16</v>
      </c>
      <c r="B41" s="53"/>
      <c r="C41" s="53"/>
      <c r="D41" s="53"/>
      <c r="E41" s="123"/>
      <c r="F41" s="123"/>
      <c r="G41" s="12"/>
      <c r="H41" s="12"/>
      <c r="I41" s="12"/>
      <c r="J41" s="11"/>
      <c r="K41" s="12"/>
      <c r="L41" s="12"/>
      <c r="M41" s="12"/>
      <c r="N41" s="12"/>
      <c r="O41" s="12"/>
    </row>
    <row r="42" spans="1:15" ht="16.5" thickTop="1" thickBot="1" x14ac:dyDescent="0.25">
      <c r="A42" s="832" t="s">
        <v>24</v>
      </c>
      <c r="B42" s="833"/>
      <c r="C42" s="833"/>
      <c r="D42" s="844"/>
      <c r="E42" s="836" t="s">
        <v>11</v>
      </c>
      <c r="F42" s="837"/>
      <c r="G42" s="837"/>
      <c r="H42" s="837"/>
      <c r="I42" s="837"/>
      <c r="J42" s="837"/>
      <c r="K42" s="837"/>
      <c r="L42" s="837"/>
      <c r="M42" s="837"/>
      <c r="N42" s="838"/>
      <c r="O42" s="11"/>
    </row>
    <row r="43" spans="1:15" ht="17.25" thickTop="1" thickBot="1" x14ac:dyDescent="0.3">
      <c r="A43" s="834"/>
      <c r="B43" s="797"/>
      <c r="C43" s="797"/>
      <c r="D43" s="798"/>
      <c r="E43" s="805" t="s">
        <v>0</v>
      </c>
      <c r="F43" s="806"/>
      <c r="G43" s="807" t="s">
        <v>8</v>
      </c>
      <c r="H43" s="808"/>
      <c r="I43" s="124"/>
      <c r="J43" s="54"/>
      <c r="K43" s="54" t="s">
        <v>8</v>
      </c>
      <c r="L43" s="54"/>
      <c r="M43" s="54"/>
      <c r="N43" s="55"/>
      <c r="O43" s="11"/>
    </row>
    <row r="44" spans="1:15" ht="16.5" thickTop="1" x14ac:dyDescent="0.25">
      <c r="A44" s="834"/>
      <c r="B44" s="797"/>
      <c r="C44" s="797"/>
      <c r="D44" s="798"/>
      <c r="E44" s="839" t="s">
        <v>29</v>
      </c>
      <c r="F44" s="816"/>
      <c r="G44" s="845" t="s">
        <v>29</v>
      </c>
      <c r="H44" s="826"/>
      <c r="I44" s="841" t="s">
        <v>31</v>
      </c>
      <c r="J44" s="828"/>
      <c r="K44" s="846" t="s">
        <v>32</v>
      </c>
      <c r="L44" s="788"/>
      <c r="M44" s="788"/>
      <c r="N44" s="843"/>
      <c r="O44" s="11"/>
    </row>
    <row r="45" spans="1:15" ht="16.5" thickBot="1" x14ac:dyDescent="0.25">
      <c r="A45" s="835"/>
      <c r="B45" s="800"/>
      <c r="C45" s="800"/>
      <c r="D45" s="801"/>
      <c r="E45" s="16" t="s">
        <v>1</v>
      </c>
      <c r="F45" s="17" t="s">
        <v>2</v>
      </c>
      <c r="G45" s="18" t="s">
        <v>1</v>
      </c>
      <c r="H45" s="19" t="s">
        <v>2</v>
      </c>
      <c r="I45" s="18" t="s">
        <v>1</v>
      </c>
      <c r="J45" s="17" t="s">
        <v>2</v>
      </c>
      <c r="K45" s="18" t="s">
        <v>1</v>
      </c>
      <c r="L45" s="19" t="s">
        <v>2</v>
      </c>
      <c r="M45" s="20" t="s">
        <v>1</v>
      </c>
      <c r="N45" s="21" t="s">
        <v>2</v>
      </c>
      <c r="O45" s="11"/>
    </row>
    <row r="46" spans="1:15" ht="17.25" thickTop="1" thickBot="1" x14ac:dyDescent="0.3">
      <c r="A46" s="97" t="s">
        <v>4</v>
      </c>
      <c r="B46" s="134" t="s">
        <v>21</v>
      </c>
      <c r="C46" s="76" t="s">
        <v>22</v>
      </c>
      <c r="D46" s="77" t="s">
        <v>23</v>
      </c>
      <c r="E46" s="812" t="s">
        <v>9</v>
      </c>
      <c r="F46" s="813"/>
      <c r="G46" s="813"/>
      <c r="H46" s="813"/>
      <c r="I46" s="813"/>
      <c r="J46" s="813"/>
      <c r="K46" s="815" t="s">
        <v>13</v>
      </c>
      <c r="L46" s="847"/>
      <c r="M46" s="864" t="s">
        <v>7</v>
      </c>
      <c r="N46" s="865"/>
      <c r="O46" s="11"/>
    </row>
    <row r="47" spans="1:15" ht="15.75" x14ac:dyDescent="0.25">
      <c r="A47" s="98">
        <v>1</v>
      </c>
      <c r="B47" s="23">
        <v>60</v>
      </c>
      <c r="C47" s="24">
        <v>240</v>
      </c>
      <c r="D47" s="25">
        <v>590</v>
      </c>
      <c r="E47" s="27" t="s">
        <v>3</v>
      </c>
      <c r="F47" s="86" t="s">
        <v>3</v>
      </c>
      <c r="G47" s="27" t="s">
        <v>3</v>
      </c>
      <c r="H47" s="26" t="s">
        <v>3</v>
      </c>
      <c r="I47" s="56" t="e">
        <f>SUM(#REF!*0.8)</f>
        <v>#REF!</v>
      </c>
      <c r="J47" s="28" t="e">
        <f>SUM(#REF!*0.8)</f>
        <v>#REF!</v>
      </c>
      <c r="K47" s="27"/>
      <c r="L47" s="26" t="s">
        <v>3</v>
      </c>
      <c r="M47" s="105" t="s">
        <v>3</v>
      </c>
      <c r="N47" s="29" t="s">
        <v>3</v>
      </c>
      <c r="O47" s="11"/>
    </row>
    <row r="48" spans="1:15" ht="15.75" x14ac:dyDescent="0.25">
      <c r="A48" s="99">
        <v>2</v>
      </c>
      <c r="B48" s="30">
        <v>80</v>
      </c>
      <c r="C48" s="31">
        <v>240</v>
      </c>
      <c r="D48" s="32">
        <v>590</v>
      </c>
      <c r="E48" s="36" t="s">
        <v>3</v>
      </c>
      <c r="F48" s="87" t="s">
        <v>3</v>
      </c>
      <c r="G48" s="36" t="s">
        <v>3</v>
      </c>
      <c r="H48" s="35" t="s">
        <v>3</v>
      </c>
      <c r="I48" s="78" t="e">
        <f>SUM(#REF!*0.8)</f>
        <v>#REF!</v>
      </c>
      <c r="J48" s="83" t="e">
        <f>SUM(#REF!*0.8)</f>
        <v>#REF!</v>
      </c>
      <c r="K48" s="36" t="s">
        <v>3</v>
      </c>
      <c r="L48" s="35" t="s">
        <v>3</v>
      </c>
      <c r="M48" s="36" t="s">
        <v>3</v>
      </c>
      <c r="N48" s="40" t="s">
        <v>3</v>
      </c>
      <c r="O48" s="11"/>
    </row>
    <row r="49" spans="1:15" ht="15.75" x14ac:dyDescent="0.25">
      <c r="A49" s="99">
        <v>3</v>
      </c>
      <c r="B49" s="30">
        <v>100</v>
      </c>
      <c r="C49" s="31">
        <v>240</v>
      </c>
      <c r="D49" s="33">
        <v>590</v>
      </c>
      <c r="E49" s="38" t="s">
        <v>3</v>
      </c>
      <c r="F49" s="39" t="s">
        <v>3</v>
      </c>
      <c r="G49" s="36" t="s">
        <v>3</v>
      </c>
      <c r="H49" s="35" t="s">
        <v>3</v>
      </c>
      <c r="I49" s="79" t="e">
        <f>SUM(#REF!*0.8)</f>
        <v>#REF!</v>
      </c>
      <c r="J49" s="83" t="e">
        <f>SUM(#REF!*0.8)</f>
        <v>#REF!</v>
      </c>
      <c r="K49" s="36" t="s">
        <v>3</v>
      </c>
      <c r="L49" s="35" t="s">
        <v>3</v>
      </c>
      <c r="M49" s="36" t="s">
        <v>3</v>
      </c>
      <c r="N49" s="40" t="s">
        <v>3</v>
      </c>
      <c r="O49" s="11"/>
    </row>
    <row r="50" spans="1:15" s="1" customFormat="1" ht="15.75" x14ac:dyDescent="0.25">
      <c r="A50" s="101">
        <v>4</v>
      </c>
      <c r="B50" s="30">
        <v>120</v>
      </c>
      <c r="C50" s="109">
        <v>240</v>
      </c>
      <c r="D50" s="110">
        <v>590</v>
      </c>
      <c r="E50" s="111" t="e">
        <f>SUM(#REF!*0.8)</f>
        <v>#REF!</v>
      </c>
      <c r="F50" s="112" t="e">
        <f>SUM(#REF!*0.8)</f>
        <v>#REF!</v>
      </c>
      <c r="G50" s="113" t="e">
        <f>SUM(#REF!*0.8)</f>
        <v>#REF!</v>
      </c>
      <c r="H50" s="114" t="e">
        <f>SUM(#REF!*0.8)</f>
        <v>#REF!</v>
      </c>
      <c r="I50" s="113" t="e">
        <f>SUM(#REF!*0.8)</f>
        <v>#REF!</v>
      </c>
      <c r="J50" s="115" t="e">
        <f>SUM(#REF!*0.8)</f>
        <v>#REF!</v>
      </c>
      <c r="K50" s="126" t="s">
        <v>3</v>
      </c>
      <c r="L50" s="114" t="s">
        <v>3</v>
      </c>
      <c r="M50" s="113" t="s">
        <v>3</v>
      </c>
      <c r="N50" s="127" t="s">
        <v>3</v>
      </c>
      <c r="O50" s="53"/>
    </row>
    <row r="51" spans="1:15" ht="15.75" x14ac:dyDescent="0.25">
      <c r="A51" s="99">
        <v>5</v>
      </c>
      <c r="B51" s="30">
        <v>150</v>
      </c>
      <c r="C51" s="31">
        <v>240</v>
      </c>
      <c r="D51" s="33">
        <v>590</v>
      </c>
      <c r="E51" s="78" t="s">
        <v>3</v>
      </c>
      <c r="F51" s="83" t="s">
        <v>3</v>
      </c>
      <c r="G51" s="79" t="s">
        <v>3</v>
      </c>
      <c r="H51" s="128" t="s">
        <v>3</v>
      </c>
      <c r="I51" s="79" t="e">
        <f>SUM(#REF!*0.8)</f>
        <v>#REF!</v>
      </c>
      <c r="J51" s="83" t="e">
        <f>SUM(#REF!*0.8)</f>
        <v>#REF!</v>
      </c>
      <c r="K51" s="36" t="s">
        <v>3</v>
      </c>
      <c r="L51" s="35" t="s">
        <v>3</v>
      </c>
      <c r="M51" s="37" t="s">
        <v>3</v>
      </c>
      <c r="N51" s="85" t="s">
        <v>3</v>
      </c>
      <c r="O51" s="11"/>
    </row>
    <row r="52" spans="1:15" ht="15.75" x14ac:dyDescent="0.25">
      <c r="A52" s="99">
        <v>6</v>
      </c>
      <c r="B52" s="30">
        <v>180</v>
      </c>
      <c r="C52" s="31">
        <v>240</v>
      </c>
      <c r="D52" s="33">
        <v>590</v>
      </c>
      <c r="E52" s="38" t="e">
        <f>SUM(#REF!*0.8)</f>
        <v>#REF!</v>
      </c>
      <c r="F52" s="39" t="e">
        <f>SUM(#REF!*0.8)</f>
        <v>#REF!</v>
      </c>
      <c r="G52" s="36" t="e">
        <f>SUM(#REF!*0.8)</f>
        <v>#REF!</v>
      </c>
      <c r="H52" s="35" t="e">
        <f>SUM(#REF!*0.8)</f>
        <v>#REF!</v>
      </c>
      <c r="I52" s="79" t="e">
        <f>SUM(#REF!*0.8)</f>
        <v>#REF!</v>
      </c>
      <c r="J52" s="83" t="e">
        <f>SUM(#REF!*0.8)</f>
        <v>#REF!</v>
      </c>
      <c r="K52" s="36" t="s">
        <v>3</v>
      </c>
      <c r="L52" s="35" t="s">
        <v>3</v>
      </c>
      <c r="M52" s="36" t="s">
        <v>3</v>
      </c>
      <c r="N52" s="40" t="s">
        <v>3</v>
      </c>
      <c r="O52" s="11"/>
    </row>
    <row r="53" spans="1:15" s="1" customFormat="1" ht="15.75" x14ac:dyDescent="0.25">
      <c r="A53" s="101">
        <v>7</v>
      </c>
      <c r="B53" s="30">
        <v>240</v>
      </c>
      <c r="C53" s="109">
        <v>240</v>
      </c>
      <c r="D53" s="110">
        <v>590</v>
      </c>
      <c r="E53" s="111" t="e">
        <f>SUM(#REF!*0.8)</f>
        <v>#REF!</v>
      </c>
      <c r="F53" s="112" t="e">
        <f>SUM(#REF!*0.8)</f>
        <v>#REF!</v>
      </c>
      <c r="G53" s="113" t="e">
        <f>SUM(#REF!*0.8)</f>
        <v>#REF!</v>
      </c>
      <c r="H53" s="114" t="e">
        <f>SUM(#REF!*0.8)</f>
        <v>#REF!</v>
      </c>
      <c r="I53" s="113" t="s">
        <v>3</v>
      </c>
      <c r="J53" s="115" t="s">
        <v>3</v>
      </c>
      <c r="K53" s="126" t="e">
        <f>SUM(#REF!*0.8)</f>
        <v>#REF!</v>
      </c>
      <c r="L53" s="114" t="e">
        <f>SUM(#REF!*0.8)</f>
        <v>#REF!</v>
      </c>
      <c r="M53" s="113" t="e">
        <f>SUM(#REF!*0.8)</f>
        <v>#REF!</v>
      </c>
      <c r="N53" s="129" t="e">
        <f>SUM(#REF!*0.8)</f>
        <v>#REF!</v>
      </c>
      <c r="O53" s="130"/>
    </row>
    <row r="54" spans="1:15" ht="15.75" x14ac:dyDescent="0.25">
      <c r="A54" s="99">
        <v>8</v>
      </c>
      <c r="B54" s="30">
        <v>300</v>
      </c>
      <c r="C54" s="31">
        <v>240</v>
      </c>
      <c r="D54" s="33">
        <v>590</v>
      </c>
      <c r="E54" s="38" t="e">
        <f>SUM(#REF!*0.8)</f>
        <v>#REF!</v>
      </c>
      <c r="F54" s="39" t="e">
        <f>SUM(#REF!*0.8)</f>
        <v>#REF!</v>
      </c>
      <c r="G54" s="36" t="e">
        <f>SUM(#REF!*0.8)</f>
        <v>#REF!</v>
      </c>
      <c r="H54" s="35" t="e">
        <f>SUM(#REF!*0.8)</f>
        <v>#REF!</v>
      </c>
      <c r="I54" s="36" t="s">
        <v>3</v>
      </c>
      <c r="J54" s="39" t="s">
        <v>3</v>
      </c>
      <c r="K54" s="34" t="e">
        <f>SUM(#REF!*0.8)</f>
        <v>#REF!</v>
      </c>
      <c r="L54" s="35" t="e">
        <f>SUM(#REF!*0.8)</f>
        <v>#REF!</v>
      </c>
      <c r="M54" s="36" t="e">
        <f>SUM(#REF!*0.8)</f>
        <v>#REF!</v>
      </c>
      <c r="N54" s="40" t="e">
        <f>SUM(#REF!*0.8)</f>
        <v>#REF!</v>
      </c>
      <c r="O54" s="131"/>
    </row>
    <row r="55" spans="1:15" ht="16.5" thickBot="1" x14ac:dyDescent="0.3">
      <c r="A55" s="102">
        <v>9</v>
      </c>
      <c r="B55" s="57">
        <v>360</v>
      </c>
      <c r="C55" s="42">
        <v>240</v>
      </c>
      <c r="D55" s="43">
        <v>590</v>
      </c>
      <c r="E55" s="119" t="e">
        <f>SUM(#REF!*0.8)</f>
        <v>#REF!</v>
      </c>
      <c r="F55" s="120" t="e">
        <f>SUM(#REF!*0.8)</f>
        <v>#REF!</v>
      </c>
      <c r="G55" s="121" t="e">
        <f>SUM(#REF!*0.8)</f>
        <v>#REF!</v>
      </c>
      <c r="H55" s="122" t="e">
        <f>SUM(#REF!*0.8)</f>
        <v>#REF!</v>
      </c>
      <c r="I55" s="46" t="s">
        <v>3</v>
      </c>
      <c r="J55" s="47" t="s">
        <v>3</v>
      </c>
      <c r="K55" s="121" t="e">
        <f>SUM(#REF!*0.8)</f>
        <v>#REF!</v>
      </c>
      <c r="L55" s="122" t="e">
        <f>SUM(#REF!*0.8)</f>
        <v>#REF!</v>
      </c>
      <c r="M55" s="121" t="e">
        <f>SUM(#REF!*0.8)</f>
        <v>#REF!</v>
      </c>
      <c r="N55" s="132" t="e">
        <f>SUM(#REF!*0.8)</f>
        <v>#REF!</v>
      </c>
      <c r="O55" s="131"/>
    </row>
    <row r="56" spans="1:15" ht="15.75" thickTop="1" x14ac:dyDescent="0.2">
      <c r="A56" s="11"/>
      <c r="B56" s="11"/>
      <c r="C56" s="11"/>
      <c r="D56" s="11"/>
      <c r="E56" s="12"/>
      <c r="F56" s="12"/>
      <c r="G56" s="12"/>
      <c r="H56" s="12"/>
      <c r="I56" s="12"/>
      <c r="J56" s="11"/>
      <c r="K56" s="12"/>
      <c r="L56" s="12"/>
      <c r="M56" s="12"/>
      <c r="N56" s="12"/>
      <c r="O56" s="12"/>
    </row>
    <row r="57" spans="1:15" ht="15.75" x14ac:dyDescent="0.25">
      <c r="A57" s="11"/>
      <c r="B57" s="11"/>
      <c r="C57" s="11"/>
      <c r="D57" s="11"/>
      <c r="E57" s="12"/>
      <c r="F57" s="12"/>
      <c r="G57" s="12"/>
      <c r="H57" s="12"/>
      <c r="I57" s="12"/>
      <c r="J57" s="11"/>
      <c r="K57" s="123"/>
      <c r="L57" s="12"/>
      <c r="M57" s="12"/>
      <c r="N57" s="12"/>
      <c r="O57" s="12"/>
    </row>
    <row r="58" spans="1:15" ht="30" customHeight="1" x14ac:dyDescent="0.25">
      <c r="A58" s="11"/>
      <c r="B58" s="11"/>
      <c r="C58" s="11"/>
      <c r="D58" s="11"/>
      <c r="E58" s="12"/>
      <c r="F58" s="12"/>
      <c r="G58" s="123"/>
      <c r="H58" s="12"/>
      <c r="I58" s="12"/>
      <c r="J58" s="11"/>
      <c r="K58" s="12"/>
      <c r="L58" s="12"/>
      <c r="M58" s="12"/>
      <c r="N58" s="12"/>
      <c r="O58" s="12"/>
    </row>
    <row r="59" spans="1:15" ht="30" customHeight="1" x14ac:dyDescent="0.25">
      <c r="A59" s="11"/>
      <c r="B59" s="11"/>
      <c r="C59" s="11"/>
      <c r="D59" s="11"/>
      <c r="E59" s="12"/>
      <c r="F59" s="12"/>
      <c r="G59" s="123"/>
      <c r="H59" s="12"/>
      <c r="I59" s="12"/>
      <c r="J59" s="11"/>
      <c r="K59" s="12"/>
      <c r="L59" s="12"/>
      <c r="M59" s="12"/>
      <c r="N59" s="12"/>
      <c r="O59" s="12"/>
    </row>
    <row r="60" spans="1:15" ht="16.5" thickBot="1" x14ac:dyDescent="0.3">
      <c r="A60" s="53" t="s">
        <v>18</v>
      </c>
      <c r="B60" s="11"/>
      <c r="C60" s="11"/>
      <c r="D60" s="11"/>
      <c r="E60" s="12"/>
      <c r="F60" s="12"/>
      <c r="G60" s="123"/>
      <c r="H60" s="12"/>
      <c r="I60" s="12"/>
      <c r="J60" s="11"/>
      <c r="K60" s="12"/>
      <c r="L60" s="12"/>
      <c r="M60" s="12"/>
      <c r="N60" s="12"/>
      <c r="O60" s="12"/>
    </row>
    <row r="61" spans="1:15" ht="16.5" thickTop="1" thickBot="1" x14ac:dyDescent="0.25">
      <c r="A61" s="832" t="s">
        <v>24</v>
      </c>
      <c r="B61" s="833"/>
      <c r="C61" s="833"/>
      <c r="D61" s="833"/>
      <c r="E61" s="836" t="s">
        <v>48</v>
      </c>
      <c r="F61" s="837"/>
      <c r="G61" s="837"/>
      <c r="H61" s="837"/>
      <c r="I61" s="837"/>
      <c r="J61" s="837"/>
      <c r="K61" s="837"/>
      <c r="L61" s="837"/>
      <c r="M61" s="838"/>
      <c r="N61" s="12"/>
      <c r="O61" s="11"/>
    </row>
    <row r="62" spans="1:15" ht="17.25" thickTop="1" thickBot="1" x14ac:dyDescent="0.3">
      <c r="A62" s="834"/>
      <c r="B62" s="797"/>
      <c r="C62" s="797"/>
      <c r="D62" s="797"/>
      <c r="E62" s="848"/>
      <c r="F62" s="849"/>
      <c r="G62" s="850"/>
      <c r="H62" s="850"/>
      <c r="I62" s="58"/>
      <c r="J62" s="59"/>
      <c r="K62" s="54"/>
      <c r="L62" s="54"/>
      <c r="M62" s="55"/>
      <c r="N62" s="12"/>
      <c r="O62" s="11"/>
    </row>
    <row r="63" spans="1:15" ht="16.5" thickTop="1" x14ac:dyDescent="0.25">
      <c r="A63" s="834"/>
      <c r="B63" s="797"/>
      <c r="C63" s="797"/>
      <c r="D63" s="797"/>
      <c r="E63" s="851" t="s">
        <v>12</v>
      </c>
      <c r="F63" s="852"/>
      <c r="G63" s="853" t="s">
        <v>14</v>
      </c>
      <c r="H63" s="854"/>
      <c r="I63" s="855" t="s">
        <v>25</v>
      </c>
      <c r="J63" s="856"/>
      <c r="K63" s="862" t="s">
        <v>26</v>
      </c>
      <c r="L63" s="787"/>
      <c r="M63" s="863"/>
      <c r="N63" s="12"/>
      <c r="O63" s="11"/>
    </row>
    <row r="64" spans="1:15" ht="16.5" thickBot="1" x14ac:dyDescent="0.25">
      <c r="A64" s="835"/>
      <c r="B64" s="800"/>
      <c r="C64" s="800"/>
      <c r="D64" s="800"/>
      <c r="E64" s="857" t="s">
        <v>15</v>
      </c>
      <c r="F64" s="858"/>
      <c r="G64" s="859" t="s">
        <v>15</v>
      </c>
      <c r="H64" s="860"/>
      <c r="I64" s="861" t="s">
        <v>15</v>
      </c>
      <c r="J64" s="858"/>
      <c r="K64" s="859" t="s">
        <v>15</v>
      </c>
      <c r="L64" s="861"/>
      <c r="M64" s="860"/>
      <c r="N64" s="12"/>
      <c r="O64" s="11"/>
    </row>
    <row r="65" spans="1:15" ht="17.25" thickTop="1" thickBot="1" x14ac:dyDescent="0.3">
      <c r="A65" s="97" t="s">
        <v>4</v>
      </c>
      <c r="B65" s="134" t="s">
        <v>21</v>
      </c>
      <c r="C65" s="76" t="s">
        <v>22</v>
      </c>
      <c r="D65" s="77" t="s">
        <v>23</v>
      </c>
      <c r="E65" s="866"/>
      <c r="F65" s="867"/>
      <c r="G65" s="867"/>
      <c r="H65" s="867"/>
      <c r="I65" s="867"/>
      <c r="J65" s="867"/>
      <c r="K65" s="868"/>
      <c r="L65" s="868"/>
      <c r="M65" s="60"/>
      <c r="N65" s="12"/>
      <c r="O65" s="11"/>
    </row>
    <row r="66" spans="1:15" ht="15.75" x14ac:dyDescent="0.25">
      <c r="A66" s="98">
        <v>1</v>
      </c>
      <c r="B66" s="23">
        <v>60</v>
      </c>
      <c r="C66" s="24">
        <v>240</v>
      </c>
      <c r="D66" s="49">
        <v>590</v>
      </c>
      <c r="E66" s="869" t="s">
        <v>3</v>
      </c>
      <c r="F66" s="870"/>
      <c r="G66" s="871" t="s">
        <v>3</v>
      </c>
      <c r="H66" s="872"/>
      <c r="I66" s="869" t="s">
        <v>3</v>
      </c>
      <c r="J66" s="870"/>
      <c r="K66" s="873" t="e">
        <f>SUM(#REF!*0.8)</f>
        <v>#REF!</v>
      </c>
      <c r="L66" s="873"/>
      <c r="M66" s="874"/>
      <c r="N66" s="12"/>
      <c r="O66" s="11"/>
    </row>
    <row r="67" spans="1:15" ht="15.75" x14ac:dyDescent="0.25">
      <c r="A67" s="99">
        <v>2</v>
      </c>
      <c r="B67" s="30">
        <v>80</v>
      </c>
      <c r="C67" s="31">
        <v>240</v>
      </c>
      <c r="D67" s="50">
        <v>590</v>
      </c>
      <c r="E67" s="881" t="s">
        <v>3</v>
      </c>
      <c r="F67" s="882"/>
      <c r="G67" s="873" t="s">
        <v>3</v>
      </c>
      <c r="H67" s="874"/>
      <c r="I67" s="881" t="s">
        <v>3</v>
      </c>
      <c r="J67" s="882"/>
      <c r="K67" s="875" t="e">
        <f>SUM(#REF!*0.8)</f>
        <v>#REF!</v>
      </c>
      <c r="L67" s="875"/>
      <c r="M67" s="876"/>
      <c r="N67" s="12"/>
      <c r="O67" s="11"/>
    </row>
    <row r="68" spans="1:15" ht="15.75" x14ac:dyDescent="0.25">
      <c r="A68" s="99">
        <v>3</v>
      </c>
      <c r="B68" s="30">
        <v>120</v>
      </c>
      <c r="C68" s="31">
        <v>240</v>
      </c>
      <c r="D68" s="51">
        <v>490</v>
      </c>
      <c r="E68" s="877" t="s">
        <v>3</v>
      </c>
      <c r="F68" s="878"/>
      <c r="G68" s="879" t="s">
        <v>3</v>
      </c>
      <c r="H68" s="880"/>
      <c r="I68" s="881" t="s">
        <v>3</v>
      </c>
      <c r="J68" s="882"/>
      <c r="K68" s="875" t="e">
        <f>SUM(#REF!*0.8)</f>
        <v>#REF!</v>
      </c>
      <c r="L68" s="875"/>
      <c r="M68" s="876"/>
      <c r="N68" s="12"/>
      <c r="O68" s="11"/>
    </row>
    <row r="69" spans="1:15" ht="15.75" x14ac:dyDescent="0.25">
      <c r="A69" s="99">
        <v>4</v>
      </c>
      <c r="B69" s="30">
        <v>240</v>
      </c>
      <c r="C69" s="31">
        <v>240</v>
      </c>
      <c r="D69" s="51">
        <v>590</v>
      </c>
      <c r="E69" s="881" t="e">
        <f>SUM(#REF!*0.8)</f>
        <v>#REF!</v>
      </c>
      <c r="F69" s="882"/>
      <c r="G69" s="873" t="e">
        <f>SUM(#REF!*0.8)</f>
        <v>#REF!</v>
      </c>
      <c r="H69" s="874"/>
      <c r="I69" s="881" t="s">
        <v>3</v>
      </c>
      <c r="J69" s="882"/>
      <c r="K69" s="873" t="s">
        <v>3</v>
      </c>
      <c r="L69" s="873"/>
      <c r="M69" s="874"/>
      <c r="N69" s="12"/>
      <c r="O69" s="11"/>
    </row>
    <row r="70" spans="1:15" ht="15.75" x14ac:dyDescent="0.25">
      <c r="A70" s="99">
        <v>5</v>
      </c>
      <c r="B70" s="30">
        <v>300</v>
      </c>
      <c r="C70" s="31">
        <v>240</v>
      </c>
      <c r="D70" s="51">
        <v>590</v>
      </c>
      <c r="E70" s="889" t="e">
        <f>SUM(#REF!*0.8)</f>
        <v>#REF!</v>
      </c>
      <c r="F70" s="890"/>
      <c r="G70" s="891" t="e">
        <f>SUM(#REF!*0.8)</f>
        <v>#REF!</v>
      </c>
      <c r="H70" s="892"/>
      <c r="I70" s="877" t="s">
        <v>3</v>
      </c>
      <c r="J70" s="878"/>
      <c r="K70" s="873" t="s">
        <v>3</v>
      </c>
      <c r="L70" s="873"/>
      <c r="M70" s="874"/>
      <c r="N70" s="12"/>
      <c r="O70" s="11"/>
    </row>
    <row r="71" spans="1:15" ht="15.75" x14ac:dyDescent="0.25">
      <c r="A71" s="99">
        <v>6</v>
      </c>
      <c r="B71" s="94">
        <v>360</v>
      </c>
      <c r="C71" s="31">
        <v>240</v>
      </c>
      <c r="D71" s="33">
        <v>590</v>
      </c>
      <c r="E71" s="881" t="e">
        <f>SUM(#REF!*0.8)</f>
        <v>#REF!</v>
      </c>
      <c r="F71" s="882"/>
      <c r="G71" s="873" t="e">
        <f>SUM(#REF!*0.8)</f>
        <v>#REF!</v>
      </c>
      <c r="H71" s="874"/>
      <c r="I71" s="881" t="e">
        <f>SUM(#REF!*0.8)</f>
        <v>#REF!</v>
      </c>
      <c r="J71" s="882"/>
      <c r="K71" s="873" t="s">
        <v>3</v>
      </c>
      <c r="L71" s="873"/>
      <c r="M71" s="874"/>
      <c r="N71" s="12"/>
      <c r="O71" s="11"/>
    </row>
    <row r="72" spans="1:15" ht="16.5" thickBot="1" x14ac:dyDescent="0.3">
      <c r="A72" s="100">
        <v>7</v>
      </c>
      <c r="B72" s="61">
        <v>420</v>
      </c>
      <c r="C72" s="62">
        <v>240</v>
      </c>
      <c r="D72" s="63">
        <v>590</v>
      </c>
      <c r="E72" s="883" t="e">
        <f>SUM(#REF!*0.8)</f>
        <v>#REF!</v>
      </c>
      <c r="F72" s="884"/>
      <c r="G72" s="885" t="e">
        <f>SUM(#REF!*0.8)</f>
        <v>#REF!</v>
      </c>
      <c r="H72" s="886"/>
      <c r="I72" s="883" t="e">
        <f>SUM(#REF!*0.8)</f>
        <v>#REF!</v>
      </c>
      <c r="J72" s="884"/>
      <c r="K72" s="887" t="s">
        <v>3</v>
      </c>
      <c r="L72" s="887"/>
      <c r="M72" s="888"/>
      <c r="N72" s="11"/>
      <c r="O72" s="11"/>
    </row>
    <row r="73" spans="1:15" ht="16.5" thickTop="1" x14ac:dyDescent="0.25">
      <c r="A73" s="164"/>
      <c r="B73" s="123"/>
      <c r="C73" s="12"/>
      <c r="D73" s="12"/>
      <c r="E73" s="95"/>
      <c r="F73" s="95"/>
      <c r="G73" s="95"/>
      <c r="H73" s="95"/>
      <c r="I73" s="95"/>
      <c r="J73" s="95"/>
      <c r="K73" s="95"/>
      <c r="L73" s="95"/>
      <c r="M73" s="95"/>
      <c r="N73" s="11"/>
      <c r="O73" s="11"/>
    </row>
    <row r="74" spans="1:15" ht="15.75" x14ac:dyDescent="0.25">
      <c r="A74" s="164"/>
      <c r="B74" s="123"/>
      <c r="C74" s="12"/>
      <c r="D74" s="12"/>
      <c r="E74" s="95"/>
      <c r="F74" s="95"/>
      <c r="G74" s="95"/>
      <c r="H74" s="95"/>
      <c r="I74" s="95"/>
      <c r="J74" s="95"/>
      <c r="K74" s="95"/>
      <c r="L74" s="95"/>
      <c r="M74" s="95"/>
      <c r="N74" s="11"/>
      <c r="O74" s="11"/>
    </row>
    <row r="75" spans="1:15" ht="15" x14ac:dyDescent="0.2">
      <c r="A75" s="11"/>
      <c r="B75" s="11"/>
      <c r="C75" s="11"/>
      <c r="D75" s="11"/>
      <c r="E75" s="12"/>
      <c r="F75" s="12"/>
      <c r="G75" s="12"/>
      <c r="H75" s="12"/>
      <c r="I75" s="64"/>
      <c r="J75" s="11"/>
      <c r="K75" s="12"/>
      <c r="L75" s="12"/>
      <c r="M75" s="12"/>
      <c r="N75" s="12"/>
      <c r="O75" s="12"/>
    </row>
    <row r="76" spans="1:15" ht="16.5" thickBot="1" x14ac:dyDescent="0.3">
      <c r="A76" s="69" t="s">
        <v>46</v>
      </c>
      <c r="B76" s="11"/>
      <c r="C76" s="11"/>
      <c r="D76" s="11"/>
      <c r="E76" s="12"/>
      <c r="F76" s="12"/>
      <c r="G76" s="12"/>
      <c r="H76" s="12"/>
      <c r="I76" s="12"/>
      <c r="J76" s="11"/>
      <c r="K76" s="12"/>
      <c r="L76" s="12"/>
      <c r="M76" s="12"/>
      <c r="N76" s="12"/>
      <c r="O76" s="12"/>
    </row>
    <row r="77" spans="1:15" ht="17.25" thickTop="1" thickBot="1" x14ac:dyDescent="0.3">
      <c r="A77" s="762" t="s">
        <v>4</v>
      </c>
      <c r="B77" s="764" t="s">
        <v>21</v>
      </c>
      <c r="C77" s="766" t="s">
        <v>22</v>
      </c>
      <c r="D77" s="768" t="s">
        <v>23</v>
      </c>
      <c r="E77" s="754" t="s">
        <v>36</v>
      </c>
      <c r="F77" s="755"/>
      <c r="G77" s="770" t="s">
        <v>37</v>
      </c>
      <c r="H77" s="770"/>
      <c r="I77" s="754" t="s">
        <v>38</v>
      </c>
      <c r="J77" s="755"/>
      <c r="K77" s="770" t="s">
        <v>39</v>
      </c>
      <c r="L77" s="770"/>
      <c r="M77" s="754" t="s">
        <v>40</v>
      </c>
      <c r="N77" s="755"/>
      <c r="O77" s="893" t="s">
        <v>43</v>
      </c>
    </row>
    <row r="78" spans="1:15" ht="14.25" thickTop="1" thickBot="1" x14ac:dyDescent="0.25">
      <c r="A78" s="763"/>
      <c r="B78" s="765"/>
      <c r="C78" s="767"/>
      <c r="D78" s="769"/>
      <c r="E78" s="179" t="s">
        <v>41</v>
      </c>
      <c r="F78" s="180" t="s">
        <v>42</v>
      </c>
      <c r="G78" s="179" t="s">
        <v>41</v>
      </c>
      <c r="H78" s="181" t="s">
        <v>42</v>
      </c>
      <c r="I78" s="179" t="s">
        <v>41</v>
      </c>
      <c r="J78" s="182" t="s">
        <v>42</v>
      </c>
      <c r="K78" s="179" t="s">
        <v>41</v>
      </c>
      <c r="L78" s="181" t="s">
        <v>42</v>
      </c>
      <c r="M78" s="183" t="s">
        <v>41</v>
      </c>
      <c r="N78" s="182" t="s">
        <v>42</v>
      </c>
      <c r="O78" s="894"/>
    </row>
    <row r="79" spans="1:15" ht="16.5" thickTop="1" x14ac:dyDescent="0.25">
      <c r="A79" s="165">
        <v>1</v>
      </c>
      <c r="B79" s="151">
        <v>60</v>
      </c>
      <c r="C79" s="152">
        <v>240</v>
      </c>
      <c r="D79" s="32">
        <v>590</v>
      </c>
      <c r="E79" s="160" t="s">
        <v>45</v>
      </c>
      <c r="F79" s="157">
        <v>1.4953000000000001</v>
      </c>
      <c r="G79" s="160" t="s">
        <v>45</v>
      </c>
      <c r="H79" s="12">
        <v>1.4953000000000001</v>
      </c>
      <c r="I79" s="160">
        <v>160</v>
      </c>
      <c r="J79" s="157">
        <v>1.3593</v>
      </c>
      <c r="K79" s="160">
        <v>112</v>
      </c>
      <c r="L79" s="12">
        <v>0.95150000000000001</v>
      </c>
      <c r="M79" s="163">
        <v>192</v>
      </c>
      <c r="N79" s="157">
        <v>1.6312</v>
      </c>
      <c r="O79" s="157">
        <v>117.7</v>
      </c>
    </row>
    <row r="80" spans="1:15" ht="15.75" x14ac:dyDescent="0.25">
      <c r="A80" s="99">
        <v>2</v>
      </c>
      <c r="B80" s="30">
        <v>80</v>
      </c>
      <c r="C80" s="31">
        <v>240</v>
      </c>
      <c r="D80" s="32">
        <v>590</v>
      </c>
      <c r="E80" s="160">
        <v>144</v>
      </c>
      <c r="F80" s="157">
        <v>1.6312</v>
      </c>
      <c r="G80" s="160">
        <v>144</v>
      </c>
      <c r="H80" s="12">
        <v>1.6312</v>
      </c>
      <c r="I80" s="160">
        <v>125</v>
      </c>
      <c r="J80" s="157">
        <v>1.4159999999999999</v>
      </c>
      <c r="K80" s="160">
        <v>105</v>
      </c>
      <c r="L80" s="12">
        <v>1.1894</v>
      </c>
      <c r="M80" s="160">
        <v>150</v>
      </c>
      <c r="N80" s="157">
        <v>1.6992</v>
      </c>
      <c r="O80" s="157">
        <v>88.27</v>
      </c>
    </row>
    <row r="81" spans="1:15" ht="15.75" x14ac:dyDescent="0.25">
      <c r="A81" s="99">
        <v>3</v>
      </c>
      <c r="B81" s="30">
        <v>100</v>
      </c>
      <c r="C81" s="31">
        <v>240</v>
      </c>
      <c r="D81" s="33">
        <v>590</v>
      </c>
      <c r="E81" s="168" t="s">
        <v>3</v>
      </c>
      <c r="F81" s="169" t="s">
        <v>3</v>
      </c>
      <c r="G81" s="168" t="s">
        <v>3</v>
      </c>
      <c r="H81" s="170" t="s">
        <v>3</v>
      </c>
      <c r="I81" s="168" t="s">
        <v>3</v>
      </c>
      <c r="J81" s="169" t="s">
        <v>3</v>
      </c>
      <c r="K81" s="168" t="s">
        <v>3</v>
      </c>
      <c r="L81" s="170" t="s">
        <v>3</v>
      </c>
      <c r="M81" s="160">
        <v>120</v>
      </c>
      <c r="N81" s="157">
        <v>1.6992</v>
      </c>
      <c r="O81" s="157">
        <v>71.42</v>
      </c>
    </row>
    <row r="82" spans="1:15" ht="15.75" x14ac:dyDescent="0.25">
      <c r="A82" s="99">
        <v>4</v>
      </c>
      <c r="B82" s="30">
        <v>120</v>
      </c>
      <c r="C82" s="31">
        <v>240</v>
      </c>
      <c r="D82" s="150">
        <v>490</v>
      </c>
      <c r="E82" s="168" t="s">
        <v>3</v>
      </c>
      <c r="F82" s="169" t="s">
        <v>3</v>
      </c>
      <c r="G82" s="168" t="s">
        <v>3</v>
      </c>
      <c r="H82" s="170" t="s">
        <v>3</v>
      </c>
      <c r="I82" s="168" t="s">
        <v>3</v>
      </c>
      <c r="J82" s="169" t="s">
        <v>3</v>
      </c>
      <c r="K82" s="168" t="s">
        <v>3</v>
      </c>
      <c r="L82" s="170" t="s">
        <v>3</v>
      </c>
      <c r="M82" s="160">
        <v>100</v>
      </c>
      <c r="N82" s="157">
        <v>1.4112</v>
      </c>
      <c r="O82" s="157">
        <v>70.92</v>
      </c>
    </row>
    <row r="83" spans="1:15" ht="15.75" x14ac:dyDescent="0.25">
      <c r="A83" s="101">
        <v>5</v>
      </c>
      <c r="B83" s="70">
        <v>120</v>
      </c>
      <c r="C83" s="71">
        <v>240</v>
      </c>
      <c r="D83" s="73">
        <v>590</v>
      </c>
      <c r="E83" s="161">
        <v>96</v>
      </c>
      <c r="F83" s="158">
        <v>1.6312</v>
      </c>
      <c r="G83" s="161">
        <v>96</v>
      </c>
      <c r="H83" s="123">
        <v>1.6312</v>
      </c>
      <c r="I83" s="161">
        <v>96</v>
      </c>
      <c r="J83" s="158">
        <v>1.6312</v>
      </c>
      <c r="K83" s="161">
        <v>70</v>
      </c>
      <c r="L83" s="123">
        <v>1.1894</v>
      </c>
      <c r="M83" s="161">
        <v>96</v>
      </c>
      <c r="N83" s="158">
        <v>1.6312</v>
      </c>
      <c r="O83" s="158">
        <v>58.85</v>
      </c>
    </row>
    <row r="84" spans="1:15" ht="15.75" x14ac:dyDescent="0.25">
      <c r="A84" s="99">
        <v>6</v>
      </c>
      <c r="B84" s="30">
        <v>150</v>
      </c>
      <c r="C84" s="31">
        <v>240</v>
      </c>
      <c r="D84" s="33">
        <v>590</v>
      </c>
      <c r="E84" s="168" t="s">
        <v>3</v>
      </c>
      <c r="F84" s="169" t="s">
        <v>3</v>
      </c>
      <c r="G84" s="168" t="s">
        <v>3</v>
      </c>
      <c r="H84" s="170" t="s">
        <v>3</v>
      </c>
      <c r="I84" s="168" t="s">
        <v>3</v>
      </c>
      <c r="J84" s="169" t="s">
        <v>3</v>
      </c>
      <c r="K84" s="168" t="s">
        <v>3</v>
      </c>
      <c r="L84" s="170" t="s">
        <v>3</v>
      </c>
      <c r="M84" s="160">
        <v>72</v>
      </c>
      <c r="N84" s="157">
        <v>1.5293000000000001</v>
      </c>
      <c r="O84" s="157">
        <v>47.17</v>
      </c>
    </row>
    <row r="85" spans="1:15" ht="15.75" x14ac:dyDescent="0.25">
      <c r="A85" s="99">
        <v>7</v>
      </c>
      <c r="B85" s="30">
        <v>180</v>
      </c>
      <c r="C85" s="31">
        <v>240</v>
      </c>
      <c r="D85" s="33">
        <v>590</v>
      </c>
      <c r="E85" s="160">
        <v>64</v>
      </c>
      <c r="F85" s="157">
        <v>1.6312</v>
      </c>
      <c r="G85" s="160">
        <v>64</v>
      </c>
      <c r="H85" s="12">
        <v>1.6312</v>
      </c>
      <c r="I85" s="160">
        <v>64</v>
      </c>
      <c r="J85" s="157">
        <v>1.6312</v>
      </c>
      <c r="K85" s="160">
        <v>42</v>
      </c>
      <c r="L85" s="12">
        <v>1.0705</v>
      </c>
      <c r="M85" s="160">
        <v>64</v>
      </c>
      <c r="N85" s="157">
        <v>1.6312</v>
      </c>
      <c r="O85" s="157">
        <v>39.229999999999997</v>
      </c>
    </row>
    <row r="86" spans="1:15" ht="15.75" x14ac:dyDescent="0.25">
      <c r="A86" s="99">
        <v>8</v>
      </c>
      <c r="B86" s="30">
        <v>240</v>
      </c>
      <c r="C86" s="31">
        <v>240</v>
      </c>
      <c r="D86" s="150">
        <v>490</v>
      </c>
      <c r="E86" s="168" t="s">
        <v>3</v>
      </c>
      <c r="F86" s="169" t="s">
        <v>3</v>
      </c>
      <c r="G86" s="168" t="s">
        <v>3</v>
      </c>
      <c r="H86" s="170" t="s">
        <v>3</v>
      </c>
      <c r="I86" s="168" t="s">
        <v>3</v>
      </c>
      <c r="J86" s="169" t="s">
        <v>3</v>
      </c>
      <c r="K86" s="168" t="s">
        <v>3</v>
      </c>
      <c r="L86" s="170" t="s">
        <v>3</v>
      </c>
      <c r="M86" s="160">
        <v>50</v>
      </c>
      <c r="N86" s="157">
        <v>1.4112</v>
      </c>
      <c r="O86" s="157">
        <v>35.46</v>
      </c>
    </row>
    <row r="87" spans="1:15" ht="15.75" x14ac:dyDescent="0.25">
      <c r="A87" s="101">
        <v>9</v>
      </c>
      <c r="B87" s="70">
        <v>240</v>
      </c>
      <c r="C87" s="71">
        <v>240</v>
      </c>
      <c r="D87" s="73">
        <v>590</v>
      </c>
      <c r="E87" s="161">
        <v>48</v>
      </c>
      <c r="F87" s="158">
        <v>1.6312</v>
      </c>
      <c r="G87" s="161">
        <v>48</v>
      </c>
      <c r="H87" s="123">
        <v>1.6312</v>
      </c>
      <c r="I87" s="161">
        <v>48</v>
      </c>
      <c r="J87" s="158">
        <v>1.6312</v>
      </c>
      <c r="K87" s="161">
        <v>35</v>
      </c>
      <c r="L87" s="123">
        <v>1.1894</v>
      </c>
      <c r="M87" s="161">
        <v>48</v>
      </c>
      <c r="N87" s="158">
        <v>1.6312</v>
      </c>
      <c r="O87" s="158">
        <v>29.42</v>
      </c>
    </row>
    <row r="88" spans="1:15" ht="15.75" x14ac:dyDescent="0.25">
      <c r="A88" s="99">
        <v>10</v>
      </c>
      <c r="B88" s="30">
        <v>300</v>
      </c>
      <c r="C88" s="31">
        <v>240</v>
      </c>
      <c r="D88" s="33">
        <v>590</v>
      </c>
      <c r="E88" s="160">
        <v>40</v>
      </c>
      <c r="F88" s="157">
        <v>1.6992</v>
      </c>
      <c r="G88" s="160">
        <v>40</v>
      </c>
      <c r="H88" s="12">
        <v>1.6992</v>
      </c>
      <c r="I88" s="160">
        <v>40</v>
      </c>
      <c r="J88" s="157">
        <v>1.6992</v>
      </c>
      <c r="K88" s="160">
        <v>28</v>
      </c>
      <c r="L88" s="12">
        <v>1.1894</v>
      </c>
      <c r="M88" s="160">
        <v>40</v>
      </c>
      <c r="N88" s="157">
        <v>1.6992</v>
      </c>
      <c r="O88" s="157">
        <v>23.54</v>
      </c>
    </row>
    <row r="89" spans="1:15" ht="16.5" thickBot="1" x14ac:dyDescent="0.3">
      <c r="A89" s="99">
        <v>11</v>
      </c>
      <c r="B89" s="30">
        <v>360</v>
      </c>
      <c r="C89" s="167">
        <v>240</v>
      </c>
      <c r="D89" s="33">
        <v>590</v>
      </c>
      <c r="E89" s="160">
        <v>32</v>
      </c>
      <c r="F89" s="157">
        <v>1.6312</v>
      </c>
      <c r="G89" s="160">
        <v>32</v>
      </c>
      <c r="H89" s="12">
        <v>1.6312</v>
      </c>
      <c r="I89" s="160">
        <v>32</v>
      </c>
      <c r="J89" s="157">
        <v>1.6312</v>
      </c>
      <c r="K89" s="160">
        <v>21</v>
      </c>
      <c r="L89" s="12">
        <v>1.0705</v>
      </c>
      <c r="M89" s="160">
        <v>32</v>
      </c>
      <c r="N89" s="157">
        <v>1.6312</v>
      </c>
      <c r="O89" s="157">
        <v>19.61</v>
      </c>
    </row>
    <row r="90" spans="1:15" ht="16.5" thickBot="1" x14ac:dyDescent="0.3">
      <c r="A90" s="166">
        <v>12</v>
      </c>
      <c r="B90" s="41">
        <v>420</v>
      </c>
      <c r="C90" s="62">
        <v>240</v>
      </c>
      <c r="D90" s="155">
        <v>590</v>
      </c>
      <c r="E90" s="162">
        <v>24</v>
      </c>
      <c r="F90" s="159">
        <v>1.4273</v>
      </c>
      <c r="G90" s="162">
        <v>24</v>
      </c>
      <c r="H90" s="91">
        <v>1.4273</v>
      </c>
      <c r="I90" s="171" t="s">
        <v>3</v>
      </c>
      <c r="J90" s="172" t="s">
        <v>3</v>
      </c>
      <c r="K90" s="171" t="s">
        <v>3</v>
      </c>
      <c r="L90" s="173" t="s">
        <v>3</v>
      </c>
      <c r="M90" s="171" t="s">
        <v>3</v>
      </c>
      <c r="N90" s="172" t="s">
        <v>3</v>
      </c>
      <c r="O90" s="159">
        <v>16.809999999999999</v>
      </c>
    </row>
    <row r="91" spans="1:15" ht="15.75" thickTop="1" x14ac:dyDescent="0.2">
      <c r="A91" s="11"/>
      <c r="B91" s="156" t="s">
        <v>44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</sheetData>
  <mergeCells count="84">
    <mergeCell ref="O77:O78"/>
    <mergeCell ref="A4:I4"/>
    <mergeCell ref="E77:F77"/>
    <mergeCell ref="G77:H77"/>
    <mergeCell ref="I77:J77"/>
    <mergeCell ref="K77:L77"/>
    <mergeCell ref="A77:A78"/>
    <mergeCell ref="B77:B78"/>
    <mergeCell ref="C77:C78"/>
    <mergeCell ref="D77:D78"/>
    <mergeCell ref="M77:N77"/>
    <mergeCell ref="I70:J70"/>
    <mergeCell ref="K70:M70"/>
    <mergeCell ref="E67:F67"/>
    <mergeCell ref="G67:H67"/>
    <mergeCell ref="I67:J67"/>
    <mergeCell ref="A3:L3"/>
    <mergeCell ref="A5:I5"/>
    <mergeCell ref="E72:F72"/>
    <mergeCell ref="G72:H72"/>
    <mergeCell ref="I72:J72"/>
    <mergeCell ref="K72:M72"/>
    <mergeCell ref="E71:F71"/>
    <mergeCell ref="G71:H71"/>
    <mergeCell ref="I71:J71"/>
    <mergeCell ref="E69:F69"/>
    <mergeCell ref="G69:H69"/>
    <mergeCell ref="I69:J69"/>
    <mergeCell ref="K69:M69"/>
    <mergeCell ref="K71:M71"/>
    <mergeCell ref="E70:F70"/>
    <mergeCell ref="G70:H70"/>
    <mergeCell ref="K67:M67"/>
    <mergeCell ref="E68:F68"/>
    <mergeCell ref="G68:H68"/>
    <mergeCell ref="I68:J68"/>
    <mergeCell ref="K68:M68"/>
    <mergeCell ref="E65:J65"/>
    <mergeCell ref="K65:L65"/>
    <mergeCell ref="E66:F66"/>
    <mergeCell ref="G66:H66"/>
    <mergeCell ref="I66:J66"/>
    <mergeCell ref="K66:M66"/>
    <mergeCell ref="E46:J46"/>
    <mergeCell ref="K46:L46"/>
    <mergeCell ref="A61:D64"/>
    <mergeCell ref="E61:M61"/>
    <mergeCell ref="E62:F62"/>
    <mergeCell ref="G62:H62"/>
    <mergeCell ref="E63:F63"/>
    <mergeCell ref="G63:H63"/>
    <mergeCell ref="I63:J63"/>
    <mergeCell ref="E64:F64"/>
    <mergeCell ref="G64:H64"/>
    <mergeCell ref="I64:J64"/>
    <mergeCell ref="K64:M64"/>
    <mergeCell ref="K63:M63"/>
    <mergeCell ref="M46:N46"/>
    <mergeCell ref="E29:L29"/>
    <mergeCell ref="A42:D45"/>
    <mergeCell ref="E42:N42"/>
    <mergeCell ref="E43:F43"/>
    <mergeCell ref="G43:H43"/>
    <mergeCell ref="E44:F44"/>
    <mergeCell ref="G44:H44"/>
    <mergeCell ref="I44:J44"/>
    <mergeCell ref="K44:N44"/>
    <mergeCell ref="A8:D11"/>
    <mergeCell ref="E8:O8"/>
    <mergeCell ref="E9:H9"/>
    <mergeCell ref="I9:O9"/>
    <mergeCell ref="E10:F10"/>
    <mergeCell ref="G10:H10"/>
    <mergeCell ref="I10:J10"/>
    <mergeCell ref="K10:O10"/>
    <mergeCell ref="E12:L12"/>
    <mergeCell ref="A25:D28"/>
    <mergeCell ref="E25:O25"/>
    <mergeCell ref="E26:H26"/>
    <mergeCell ref="I26:O26"/>
    <mergeCell ref="E27:F27"/>
    <mergeCell ref="G27:H27"/>
    <mergeCell ref="I27:J27"/>
    <mergeCell ref="K27:O27"/>
  </mergeCells>
  <phoneticPr fontId="2" type="noConversion"/>
  <pageMargins left="0.78740157480314965" right="0.47244094488188981" top="0.6" bottom="0.78740157480314965" header="0.1" footer="0.51181102362204722"/>
  <pageSetup scale="75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4E9E929AEA1E4FAD350B3824AD5550" ma:contentTypeVersion="17" ma:contentTypeDescription="Utwórz nowy dokument." ma:contentTypeScope="" ma:versionID="1e4f96d42eb1e2bfb1a941604e699d87">
  <xsd:schema xmlns:xsd="http://www.w3.org/2001/XMLSchema" xmlns:xs="http://www.w3.org/2001/XMLSchema" xmlns:p="http://schemas.microsoft.com/office/2006/metadata/properties" xmlns:ns2="311f5468-4256-4cd4-a527-648228e4b854" xmlns:ns3="1fe68c9d-5429-4f44-8311-1c6e5b2c2c24" xmlns:ns4="6ff8bcb7-79ac-4d0a-b830-ba74efb6328c" targetNamespace="http://schemas.microsoft.com/office/2006/metadata/properties" ma:root="true" ma:fieldsID="ff7921755869d4c5960ebb84e656ca59" ns2:_="" ns3:_="" ns4:_="">
    <xsd:import namespace="311f5468-4256-4cd4-a527-648228e4b854"/>
    <xsd:import namespace="1fe68c9d-5429-4f44-8311-1c6e5b2c2c24"/>
    <xsd:import namespace="6ff8bcb7-79ac-4d0a-b830-ba74efb63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f5468-4256-4cd4-a527-648228e4b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35b21c64-12df-4b6c-b796-a454a8de4c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8c9d-5429-4f44-8311-1c6e5b2c2c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8bcb7-79ac-4d0a-b830-ba74efb6328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1835879-73b9-49a8-8840-9625632cf023}" ma:internalName="TaxCatchAll" ma:showField="CatchAllData" ma:web="1fe68c9d-5429-4f44-8311-1c6e5b2c2c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1f5468-4256-4cd4-a527-648228e4b854">
      <Terms xmlns="http://schemas.microsoft.com/office/infopath/2007/PartnerControls"/>
    </lcf76f155ced4ddcb4097134ff3c332f>
    <TaxCatchAll xmlns="6ff8bcb7-79ac-4d0a-b830-ba74efb6328c" xsi:nil="true"/>
  </documentManagement>
</p:properties>
</file>

<file path=customXml/itemProps1.xml><?xml version="1.0" encoding="utf-8"?>
<ds:datastoreItem xmlns:ds="http://schemas.openxmlformats.org/officeDocument/2006/customXml" ds:itemID="{DEA3C825-079E-408E-98A6-B78C4E1AD763}"/>
</file>

<file path=customXml/itemProps2.xml><?xml version="1.0" encoding="utf-8"?>
<ds:datastoreItem xmlns:ds="http://schemas.openxmlformats.org/officeDocument/2006/customXml" ds:itemID="{C3333A50-10FE-4751-81B4-FF016B60F311}"/>
</file>

<file path=customXml/itemProps3.xml><?xml version="1.0" encoding="utf-8"?>
<ds:datastoreItem xmlns:ds="http://schemas.openxmlformats.org/officeDocument/2006/customXml" ds:itemID="{5BAA216B-6EC3-4F59-9B01-53FEA1BE04E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OKŁADKA</vt:lpstr>
      <vt:lpstr>2010 Seite 1</vt:lpstr>
      <vt:lpstr>2010 Seite 2</vt:lpstr>
      <vt:lpstr>2020</vt:lpstr>
      <vt:lpstr>2012 .</vt:lpstr>
      <vt:lpstr>2010 Seite 5</vt:lpstr>
      <vt:lpstr>Flachstuerze 01.07.2008</vt:lpstr>
      <vt:lpstr>PSB - 20 %</vt:lpstr>
      <vt:lpstr>PSB ab 01.02.07 -20%</vt:lpstr>
      <vt:lpstr>'2010 Seite 1'!Obszar_wydruku</vt:lpstr>
      <vt:lpstr>'2010 Seite 2'!Obszar_wydruku</vt:lpstr>
      <vt:lpstr>'2020'!Obszar_wydruku</vt:lpstr>
      <vt:lpstr>OKŁADKA!Obszar_wydruku</vt:lpstr>
      <vt:lpstr>'2010 Seite 1'!Print_Area</vt:lpstr>
      <vt:lpstr>'2010 Seite 2'!Print_Area</vt:lpstr>
      <vt:lpstr>'2012 .'!Print_Area</vt:lpstr>
      <vt:lpstr>'2020'!Print_Area</vt:lpstr>
      <vt:lpstr>'Flachstuerze 01.07.2008'!Print_Area</vt:lpstr>
    </vt:vector>
  </TitlesOfParts>
  <Company>H+H CELCON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Bartkowski Damian</dc:creator>
  <cp:lastModifiedBy>Bożena Panek</cp:lastModifiedBy>
  <cp:lastPrinted>2023-06-30T12:16:00Z</cp:lastPrinted>
  <dcterms:created xsi:type="dcterms:W3CDTF">2006-12-09T14:44:36Z</dcterms:created>
  <dcterms:modified xsi:type="dcterms:W3CDTF">2023-12-18T11:10:37Z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0x010100E04E9E929AEA1E4FAD350B3824AD5550</vt:lpwstr>
  </property>
</Properties>
</file>