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5\"/>
    </mc:Choice>
  </mc:AlternateContent>
  <xr:revisionPtr revIDLastSave="0" documentId="13_ncr:1_{7AFBCB77-E289-48A7-9160-6EF7B30CFC68}" xr6:coauthVersionLast="47" xr6:coauthVersionMax="47" xr10:uidLastSave="{00000000-0000-0000-0000-000000000000}"/>
  <bookViews>
    <workbookView xWindow="28680" yWindow="-120" windowWidth="29040" windowHeight="15720" tabRatio="793" activeTab="4" xr2:uid="{00000000-000D-0000-FFFF-FFFF00000000}"/>
  </bookViews>
  <sheets>
    <sheet name=".1 Cover" sheetId="5" r:id="rId1"/>
    <sheet name=".2 Direct &amp; Indirect Personnel" sheetId="1" r:id="rId2"/>
    <sheet name=".3 Direct &amp; Indirect Costs" sheetId="15" r:id="rId3"/>
    <sheet name=".4 Equipment Use Fee (Indirect)" sheetId="3" r:id="rId4"/>
    <sheet name=".5 Lookback Analysis" sheetId="9" r:id="rId5"/>
  </sheets>
  <definedNames>
    <definedName name="_xlnm.Print_Area" localSheetId="0">'.1 Cover'!$A$1:$T$37</definedName>
    <definedName name="_xlnm.Print_Area" localSheetId="1">'.2 Direct &amp; Indirect Personnel'!$A:$H</definedName>
    <definedName name="_xlnm.Print_Area" localSheetId="2">'.3 Direct &amp; Indirect Costs'!$A:$E</definedName>
    <definedName name="_xlnm.Print_Area" localSheetId="3">'.4 Equipment Use Fee (Indirect)'!$A:$E</definedName>
    <definedName name="_xlnm.Print_Area" localSheetId="4">'.5 Lookback Analysis'!$A$1:$M$47</definedName>
    <definedName name="_xlnm.Print_Titles" localSheetId="1">'.2 Direct &amp; Indirect Personnel'!$1:$1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9" l="1"/>
  <c r="J32" i="9"/>
  <c r="I33" i="9" s="1"/>
  <c r="B82" i="3"/>
  <c r="B72" i="3"/>
  <c r="B62" i="3"/>
  <c r="B52" i="3"/>
  <c r="B42" i="3"/>
  <c r="B32" i="3"/>
  <c r="B22" i="3"/>
  <c r="B12" i="3"/>
  <c r="B76" i="15"/>
  <c r="B66" i="15"/>
  <c r="B56" i="15"/>
  <c r="B46" i="15"/>
  <c r="B36" i="15"/>
  <c r="B26" i="15"/>
  <c r="B16" i="15"/>
  <c r="B6" i="15"/>
  <c r="B170" i="15"/>
  <c r="B159" i="15"/>
  <c r="B148" i="15"/>
  <c r="B137" i="15"/>
  <c r="B126" i="15"/>
  <c r="B115" i="15"/>
  <c r="B104" i="15"/>
  <c r="B93" i="15"/>
  <c r="A180" i="1"/>
  <c r="B180" i="1" s="1"/>
  <c r="D180" i="1" s="1"/>
  <c r="E180" i="1" s="1"/>
  <c r="A179" i="1"/>
  <c r="B179" i="1" s="1"/>
  <c r="G146" i="1"/>
  <c r="H146" i="1" s="1"/>
  <c r="G145" i="1"/>
  <c r="H145" i="1" s="1"/>
  <c r="D149" i="1"/>
  <c r="F149" i="1"/>
  <c r="A178" i="1"/>
  <c r="B178" i="1" s="1"/>
  <c r="A177" i="1"/>
  <c r="B177" i="1" s="1"/>
  <c r="A176" i="1"/>
  <c r="B176" i="1" s="1"/>
  <c r="A175" i="1"/>
  <c r="B175" i="1" s="1"/>
  <c r="D140" i="1"/>
  <c r="D111" i="1"/>
  <c r="D98" i="1"/>
  <c r="D85" i="1"/>
  <c r="D72" i="1"/>
  <c r="D59" i="1"/>
  <c r="D46" i="1"/>
  <c r="D33" i="1"/>
  <c r="D20" i="1"/>
  <c r="C161" i="1"/>
  <c r="C160" i="1"/>
  <c r="C159" i="1"/>
  <c r="C158" i="1"/>
  <c r="C157" i="1"/>
  <c r="C156" i="1"/>
  <c r="C155" i="1"/>
  <c r="C154" i="1"/>
  <c r="D105" i="1"/>
  <c r="D92" i="1"/>
  <c r="D66" i="1"/>
  <c r="D79" i="1"/>
  <c r="D53" i="1"/>
  <c r="D40" i="1"/>
  <c r="D27" i="1"/>
  <c r="D14" i="1"/>
  <c r="G149" i="1" l="1"/>
  <c r="C12" i="5" l="1"/>
  <c r="C13" i="5" s="1"/>
  <c r="D179" i="1"/>
  <c r="E179" i="1" s="1"/>
  <c r="D178" i="1"/>
  <c r="E178" i="1" s="1"/>
  <c r="D177" i="1"/>
  <c r="E177" i="1" s="1"/>
  <c r="D176" i="1"/>
  <c r="E176" i="1" s="1"/>
  <c r="D175" i="1"/>
  <c r="E175" i="1" s="1"/>
  <c r="F109" i="1"/>
  <c r="G109" i="1" s="1"/>
  <c r="F96" i="1"/>
  <c r="G96" i="1" s="1"/>
  <c r="F83" i="1"/>
  <c r="G83" i="1" s="1"/>
  <c r="F70" i="1"/>
  <c r="G70" i="1" s="1"/>
  <c r="F57" i="1"/>
  <c r="G57" i="1" s="1"/>
  <c r="F44" i="1"/>
  <c r="G44" i="1" s="1"/>
  <c r="F31" i="1"/>
  <c r="G31" i="1" s="1"/>
  <c r="F18" i="1"/>
  <c r="G18" i="1" s="1"/>
  <c r="D171" i="15" l="1"/>
  <c r="D160" i="15"/>
  <c r="D149" i="15"/>
  <c r="D138" i="15"/>
  <c r="D127" i="15"/>
  <c r="D116" i="15"/>
  <c r="D105" i="15"/>
  <c r="D94" i="15"/>
  <c r="D77" i="15"/>
  <c r="D67" i="15"/>
  <c r="D57" i="15"/>
  <c r="D47" i="15"/>
  <c r="D37" i="15"/>
  <c r="D27" i="15"/>
  <c r="D17" i="15"/>
  <c r="D83" i="3"/>
  <c r="D73" i="3"/>
  <c r="D63" i="3"/>
  <c r="D53" i="3"/>
  <c r="D43" i="3"/>
  <c r="D33" i="3"/>
  <c r="D23" i="3"/>
  <c r="D155" i="1" l="1"/>
  <c r="D78" i="15"/>
  <c r="D68" i="15"/>
  <c r="D58" i="15"/>
  <c r="D48" i="15"/>
  <c r="D38" i="15"/>
  <c r="D28" i="15"/>
  <c r="D8" i="15"/>
  <c r="D18" i="15"/>
  <c r="D84" i="3" l="1"/>
  <c r="D74" i="3"/>
  <c r="D64" i="3"/>
  <c r="D54" i="3"/>
  <c r="D44" i="3"/>
  <c r="D34" i="3"/>
  <c r="D14" i="3"/>
  <c r="F108" i="1" l="1"/>
  <c r="F107" i="1"/>
  <c r="F106" i="1"/>
  <c r="F95" i="1"/>
  <c r="F94" i="1"/>
  <c r="F93" i="1"/>
  <c r="F82" i="1"/>
  <c r="F81" i="1"/>
  <c r="F80" i="1"/>
  <c r="F69" i="1"/>
  <c r="F68" i="1"/>
  <c r="F67" i="1"/>
  <c r="F56" i="1"/>
  <c r="F55" i="1"/>
  <c r="F54" i="1"/>
  <c r="F43" i="1"/>
  <c r="F42" i="1"/>
  <c r="F41" i="1"/>
  <c r="F17" i="1"/>
  <c r="F16" i="1"/>
  <c r="F15" i="1"/>
  <c r="F28" i="1"/>
  <c r="F29" i="1"/>
  <c r="F30" i="1"/>
  <c r="F111" i="1" l="1"/>
  <c r="F98" i="1"/>
  <c r="F85" i="1"/>
  <c r="F72" i="1"/>
  <c r="F59" i="1"/>
  <c r="F46" i="1"/>
  <c r="F33" i="1"/>
  <c r="F20" i="1"/>
  <c r="G94" i="1"/>
  <c r="G69" i="1"/>
  <c r="G106" i="1"/>
  <c r="G107" i="1"/>
  <c r="G68" i="1"/>
  <c r="G43" i="1"/>
  <c r="G16" i="1"/>
  <c r="G17" i="1"/>
  <c r="G56" i="1"/>
  <c r="G82" i="1"/>
  <c r="G108" i="1"/>
  <c r="G42" i="1"/>
  <c r="G95" i="1"/>
  <c r="G55" i="1"/>
  <c r="G81" i="1"/>
  <c r="G93" i="1"/>
  <c r="G80" i="1"/>
  <c r="G67" i="1"/>
  <c r="G54" i="1"/>
  <c r="G41" i="1"/>
  <c r="G15" i="1"/>
  <c r="G72" i="1" l="1"/>
  <c r="G111" i="1"/>
  <c r="G113" i="1" s="1"/>
  <c r="G98" i="1"/>
  <c r="G100" i="1" s="1"/>
  <c r="G59" i="1"/>
  <c r="G61" i="1" s="1"/>
  <c r="G85" i="1"/>
  <c r="G87" i="1" s="1"/>
  <c r="G46" i="1"/>
  <c r="G48" i="1" s="1"/>
  <c r="G20" i="1"/>
  <c r="G22" i="1" s="1"/>
  <c r="G74" i="1"/>
  <c r="D177" i="15"/>
  <c r="D82" i="15"/>
  <c r="G114" i="1"/>
  <c r="D88" i="3"/>
  <c r="D161" i="1"/>
  <c r="D133" i="15"/>
  <c r="D42" i="15"/>
  <c r="G62" i="1"/>
  <c r="D48" i="3"/>
  <c r="D157" i="1"/>
  <c r="D32" i="15"/>
  <c r="D122" i="15"/>
  <c r="G49" i="1"/>
  <c r="D38" i="3"/>
  <c r="D156" i="1"/>
  <c r="D144" i="15"/>
  <c r="D52" i="15"/>
  <c r="G75" i="1"/>
  <c r="D58" i="3"/>
  <c r="D158" i="1"/>
  <c r="D166" i="15"/>
  <c r="D72" i="15"/>
  <c r="G101" i="1"/>
  <c r="D78" i="3"/>
  <c r="D160" i="1"/>
  <c r="G37" i="5"/>
  <c r="I41" i="9" s="1"/>
  <c r="I42" i="9" s="1"/>
  <c r="D12" i="15"/>
  <c r="D100" i="15"/>
  <c r="G23" i="1"/>
  <c r="D18" i="3"/>
  <c r="D154" i="1"/>
  <c r="D62" i="15"/>
  <c r="D155" i="15"/>
  <c r="G88" i="1"/>
  <c r="D68" i="3"/>
  <c r="D159" i="1"/>
  <c r="D22" i="15"/>
  <c r="D111" i="15"/>
  <c r="G36" i="1"/>
  <c r="D28" i="3"/>
  <c r="G24" i="1" l="1"/>
  <c r="H29" i="5" s="1"/>
  <c r="G89" i="1"/>
  <c r="H34" i="5" s="1"/>
  <c r="G115" i="1"/>
  <c r="H36" i="5" s="1"/>
  <c r="G76" i="1"/>
  <c r="H33" i="5" s="1"/>
  <c r="G50" i="1"/>
  <c r="H31" i="5" s="1"/>
  <c r="G63" i="1"/>
  <c r="H32" i="5" s="1"/>
  <c r="G102" i="1"/>
  <c r="H35" i="5" s="1"/>
  <c r="D181" i="15"/>
  <c r="G118" i="1"/>
  <c r="D86" i="15"/>
  <c r="D92" i="3"/>
  <c r="D36" i="3" l="1"/>
  <c r="D86" i="3"/>
  <c r="D13" i="3"/>
  <c r="D16" i="3" s="1"/>
  <c r="D76" i="3"/>
  <c r="D56" i="3"/>
  <c r="D46" i="3"/>
  <c r="D60" i="15"/>
  <c r="D66" i="3"/>
  <c r="D79" i="3" l="1"/>
  <c r="P35" i="5" s="1"/>
  <c r="D19" i="3"/>
  <c r="P29" i="5" s="1"/>
  <c r="D49" i="3"/>
  <c r="P32" i="5" s="1"/>
  <c r="D89" i="3"/>
  <c r="P36" i="5" s="1"/>
  <c r="D69" i="3"/>
  <c r="P34" i="5" s="1"/>
  <c r="D59" i="3"/>
  <c r="P33" i="5" s="1"/>
  <c r="D39" i="3"/>
  <c r="P31" i="5" s="1"/>
  <c r="D63" i="15"/>
  <c r="L34" i="5" s="1"/>
  <c r="D173" i="15"/>
  <c r="D129" i="15"/>
  <c r="D172" i="15"/>
  <c r="D128" i="15"/>
  <c r="D162" i="15"/>
  <c r="D117" i="15"/>
  <c r="D161" i="15"/>
  <c r="D118" i="15"/>
  <c r="D150" i="15"/>
  <c r="D151" i="15"/>
  <c r="D140" i="15"/>
  <c r="D139" i="15"/>
  <c r="D106" i="15"/>
  <c r="D107" i="15"/>
  <c r="D20" i="15"/>
  <c r="D30" i="15"/>
  <c r="D80" i="15"/>
  <c r="D50" i="15"/>
  <c r="D70" i="15"/>
  <c r="D7" i="15"/>
  <c r="D10" i="15" s="1"/>
  <c r="D96" i="15"/>
  <c r="D95" i="15"/>
  <c r="D40" i="15"/>
  <c r="F136" i="1"/>
  <c r="F140" i="1" s="1"/>
  <c r="D13" i="15" l="1"/>
  <c r="L29" i="5" s="1"/>
  <c r="D73" i="15"/>
  <c r="L35" i="5" s="1"/>
  <c r="D83" i="15"/>
  <c r="L36" i="5" s="1"/>
  <c r="D43" i="15"/>
  <c r="L32" i="5" s="1"/>
  <c r="D33" i="15"/>
  <c r="L31" i="5" s="1"/>
  <c r="D53" i="15"/>
  <c r="L33" i="5" s="1"/>
  <c r="D23" i="15"/>
  <c r="L30" i="5" s="1"/>
  <c r="D153" i="15"/>
  <c r="D156" i="15" s="1"/>
  <c r="N34" i="5" s="1"/>
  <c r="G136" i="1"/>
  <c r="D109" i="15"/>
  <c r="D120" i="15"/>
  <c r="D87" i="15"/>
  <c r="M27" i="9" s="1"/>
  <c r="D98" i="15"/>
  <c r="D142" i="15"/>
  <c r="D131" i="15"/>
  <c r="D175" i="15"/>
  <c r="D164" i="15"/>
  <c r="G140" i="1" l="1"/>
  <c r="G151" i="1" s="1"/>
  <c r="M26" i="9" s="1"/>
  <c r="D101" i="15"/>
  <c r="N29" i="5" s="1"/>
  <c r="D145" i="15"/>
  <c r="N33" i="5" s="1"/>
  <c r="D167" i="15"/>
  <c r="N35" i="5" s="1"/>
  <c r="D123" i="15"/>
  <c r="N31" i="5" s="1"/>
  <c r="D112" i="15"/>
  <c r="N30" i="5" s="1"/>
  <c r="D178" i="15"/>
  <c r="N36" i="5" s="1"/>
  <c r="D134" i="15"/>
  <c r="N32" i="5" s="1"/>
  <c r="D182" i="15"/>
  <c r="M28" i="9" s="1"/>
  <c r="G29" i="1" l="1"/>
  <c r="G30" i="1"/>
  <c r="I27" i="9" l="1"/>
  <c r="I21" i="9"/>
  <c r="D24" i="3"/>
  <c r="D26" i="3" l="1"/>
  <c r="D29" i="3" s="1"/>
  <c r="I30" i="9"/>
  <c r="G28" i="1"/>
  <c r="G33" i="1" l="1"/>
  <c r="G117" i="1" s="1"/>
  <c r="M25" i="9" s="1"/>
  <c r="M30" i="9" s="1"/>
  <c r="J36" i="9" s="1"/>
  <c r="D93" i="3"/>
  <c r="M29" i="9" s="1"/>
  <c r="P30" i="5"/>
  <c r="I32" i="9"/>
  <c r="G35" i="1" l="1"/>
  <c r="I34" i="9" l="1"/>
  <c r="I38" i="9" s="1"/>
  <c r="K32" i="9"/>
  <c r="G37" i="1"/>
  <c r="H30" i="5" s="1"/>
  <c r="J38" i="9" l="1"/>
  <c r="K38" i="9" s="1"/>
  <c r="I44" i="9"/>
  <c r="I46" i="9" s="1"/>
  <c r="R31" i="5" l="1"/>
  <c r="R30" i="5"/>
  <c r="R29" i="5"/>
  <c r="R36" i="5"/>
  <c r="R34" i="5"/>
  <c r="R35" i="5"/>
  <c r="R33" i="5"/>
  <c r="R32" i="5"/>
  <c r="D162" i="1"/>
  <c r="E155" i="1" l="1"/>
  <c r="F155" i="1" s="1"/>
  <c r="G155" i="1" s="1"/>
  <c r="E160" i="1"/>
  <c r="F160" i="1" s="1"/>
  <c r="E161" i="1"/>
  <c r="F161" i="1" s="1"/>
  <c r="E159" i="1"/>
  <c r="F159" i="1" s="1"/>
  <c r="E156" i="1"/>
  <c r="F156" i="1" s="1"/>
  <c r="E154" i="1"/>
  <c r="F154" i="1" s="1"/>
  <c r="G154" i="1" s="1"/>
  <c r="E158" i="1"/>
  <c r="F158" i="1" s="1"/>
  <c r="E157" i="1"/>
  <c r="F157" i="1" s="1"/>
  <c r="G156" i="1" l="1"/>
  <c r="J31" i="5" s="1"/>
  <c r="T31" i="5" s="1"/>
  <c r="G159" i="1"/>
  <c r="J34" i="5" s="1"/>
  <c r="T34" i="5" s="1"/>
  <c r="G158" i="1"/>
  <c r="J33" i="5" s="1"/>
  <c r="T33" i="5" s="1"/>
  <c r="G160" i="1"/>
  <c r="J35" i="5" s="1"/>
  <c r="T35" i="5" s="1"/>
  <c r="G157" i="1"/>
  <c r="J32" i="5" s="1"/>
  <c r="T32" i="5" s="1"/>
  <c r="G161" i="1"/>
  <c r="J36" i="5" s="1"/>
  <c r="T36" i="5" s="1"/>
  <c r="J29" i="5"/>
  <c r="T29" i="5" s="1"/>
  <c r="J30" i="5"/>
  <c r="T30" i="5" s="1"/>
  <c r="F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3" authorId="0" shapeId="0" xr:uid="{7E4CAA1E-3A80-45BA-98D6-6137CA2825EE}">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74" authorId="0" shapeId="0" xr:uid="{D26B97B8-39A5-4EB9-A87B-8C86037602D8}">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Rudy Rendon</author>
  </authors>
  <commentList>
    <comment ref="I20" authorId="0" shapeId="0" xr:uid="{FACCFFE2-6CBD-45A9-981A-0A3EDF00186B}">
      <text>
        <r>
          <rPr>
            <b/>
            <sz val="9"/>
            <color indexed="81"/>
            <rFont val="Tahoma"/>
            <family val="2"/>
          </rPr>
          <t>Mossner, Christine:</t>
        </r>
        <r>
          <rPr>
            <sz val="9"/>
            <color indexed="81"/>
            <rFont val="Tahoma"/>
            <family val="2"/>
          </rPr>
          <t xml:space="preserve">
Admin Fee Charged 6470</t>
        </r>
      </text>
    </comment>
    <comment ref="I40" authorId="1" shapeId="0" xr:uid="{15763CDB-4E6A-46D5-AC9D-72345C16E693}">
      <text>
        <r>
          <rPr>
            <sz val="9"/>
            <color indexed="81"/>
            <rFont val="Tahoma"/>
            <family val="2"/>
          </rPr>
          <t xml:space="preserve">Rate last reviewed in XXXX
</t>
        </r>
      </text>
    </comment>
  </commentList>
</comments>
</file>

<file path=xl/sharedStrings.xml><?xml version="1.0" encoding="utf-8"?>
<sst xmlns="http://schemas.openxmlformats.org/spreadsheetml/2006/main" count="629" uniqueCount="202">
  <si>
    <t>Annual Salary &amp; Fringe</t>
  </si>
  <si>
    <t>DIRECT PERSONNEL COSTS:</t>
  </si>
  <si>
    <t>Amount</t>
  </si>
  <si>
    <t>Annual Cost</t>
  </si>
  <si>
    <t>PAGE 4</t>
  </si>
  <si>
    <t>Employee Name</t>
  </si>
  <si>
    <t>Federal grants and that were originally purchased with non-Federal and non-General Fund monies.</t>
  </si>
  <si>
    <t>NOTE:  Please list only those employees that will be working on projects/providing services that will be performing the work to be billed for.</t>
  </si>
  <si>
    <t>per (unit)</t>
  </si>
  <si>
    <t>SERVICE CENTER BILLING RATE APPROVAL REQUEST</t>
  </si>
  <si>
    <t>Department:</t>
  </si>
  <si>
    <t>Contact Person (name &amp; #):</t>
  </si>
  <si>
    <t>INDIRECT PERSONNEL COSTS:</t>
  </si>
  <si>
    <t>BILLING RATE DOCUMENTATION SUMMARY</t>
  </si>
  <si>
    <t>EQUIPMENT OPERATIONAL EXPENSES</t>
  </si>
  <si>
    <t>User Groups:</t>
  </si>
  <si>
    <t>EQUIPMENT USE FEE (INDIRECT)</t>
  </si>
  <si>
    <t>Cost Related to This Service</t>
  </si>
  <si>
    <t>% Related to this Serivce</t>
  </si>
  <si>
    <t>Total Equipment Operational Costs</t>
  </si>
  <si>
    <t>PAGE 2</t>
  </si>
  <si>
    <t xml:space="preserve">NOTE: Include only the capitalized equipment (costing &gt; or =  $5,000) used in providing goods/services which are charged to the </t>
  </si>
  <si>
    <t>X</t>
  </si>
  <si>
    <t>Explanation (if higher):</t>
  </si>
  <si>
    <t>PAGE 1</t>
  </si>
  <si>
    <t>INSTRUCTIONS:</t>
  </si>
  <si>
    <t>First Time Request or Update/Renewal of Rates:</t>
  </si>
  <si>
    <t>LOOKBACK ANALYSIS (REQUIRED FOR UPDATED/RENEWED RATES)</t>
  </si>
  <si>
    <t>Page 6</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</si>
  <si>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</si>
  <si>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</si>
  <si>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</si>
  <si>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</si>
  <si>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</si>
  <si>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</si>
  <si>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</si>
  <si>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</si>
  <si>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</si>
  <si>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</si>
  <si>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Time Period Used for Lookback</t>
  </si>
  <si>
    <t>Rate Effective Date:</t>
  </si>
  <si>
    <t xml:space="preserve">http://www.ctlr.msu.edu/copayroll/Fringes.aspx </t>
  </si>
  <si>
    <t>***Fringe %</t>
  </si>
  <si>
    <r>
      <t xml:space="preserve">E-mail completed workbook or questions to </t>
    </r>
    <r>
      <rPr>
        <b/>
        <u/>
        <sz val="10"/>
        <color indexed="12"/>
        <rFont val="Calibri"/>
        <family val="2"/>
      </rPr>
      <t>billing.rates@ctlr.msu.edu</t>
    </r>
  </si>
  <si>
    <t>To calculate the blended hourly rate, individuals with similar roles should be grouped together.  Under this method, employees must track hourly time</t>
  </si>
  <si>
    <t>and bill hourly for their services (even if paid salary instead of hourly).  This tracking can be done in any shadow system at the departmental level.</t>
  </si>
  <si>
    <t>Employee Title or Role</t>
  </si>
  <si>
    <t>Cost Related to This Service/acct</t>
  </si>
  <si>
    <t>Actual Annual Pay Per Person *</t>
  </si>
  <si>
    <t>AVERAGE COST PER HOUR (for this Role)</t>
  </si>
  <si>
    <t>NOTE:  These employees provide support services, but will not bill for and track their time.   Their primary role is to support/supervise the direct personnel above</t>
  </si>
  <si>
    <t>or support the entire unit's activity.</t>
  </si>
  <si>
    <t>ROLE:</t>
  </si>
  <si>
    <t>TOTAL FOR THIS ROLE</t>
  </si>
  <si>
    <t>TOTAL INDIRECT PERSONNEL COSTS</t>
  </si>
  <si>
    <r>
      <t>TOTAL BILLABLE HOURS FOR</t>
    </r>
    <r>
      <rPr>
        <b/>
        <u/>
        <sz val="10"/>
        <rFont val="Arial"/>
        <family val="2"/>
      </rPr>
      <t xml:space="preserve"> ALL</t>
    </r>
    <r>
      <rPr>
        <b/>
        <sz val="10"/>
        <rFont val="Arial"/>
        <family val="2"/>
      </rPr>
      <t xml:space="preserve"> ROLES</t>
    </r>
  </si>
  <si>
    <t>TOTAL DIRECT PERSONNEL COST FOR THIS ROLE</t>
  </si>
  <si>
    <t>See below</t>
  </si>
  <si>
    <t>TOTAL HOURLY RATE</t>
  </si>
  <si>
    <t xml:space="preserve">*** Fringe rates can be found at </t>
  </si>
  <si>
    <t>DIRECT AND INDIRECT PERSONNEL COSTS</t>
  </si>
  <si>
    <t>THIS ANALYSIS SHOULD AGREE TO THE OPERATING STATEMENTS/FUND LEDGERS FOR THE GIVEN PERIOD.</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</si>
  <si>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</si>
  <si>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</si>
  <si>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</si>
  <si>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Annual Pay Per Person *</t>
  </si>
  <si>
    <t>* Annual pay may be an estimate for the upcoming year or the actual pay for the prior year.</t>
  </si>
  <si>
    <t>% Effort on This Service/Acct**</t>
  </si>
  <si>
    <t>**  Effort is the percentage of time expected to be spent providing this service or in support of this service.  Remember that these costs need to be recorded on the revolving account for this service.</t>
  </si>
  <si>
    <t>Cost Related to This Service/Acct</t>
  </si>
  <si>
    <t>Rates:</t>
  </si>
  <si>
    <t>PAY TO THE REVOLVING ACCOUNT.  FOR HOURLY EMPLOYEES, SELECT THE REVOLVING ACCOUNT FOR HOURS SPENT ON THIS SERVICE WHEN PROCESSING PAYROLL.</t>
  </si>
  <si>
    <t>ALL INFORMATION BELOW SHOULD TIE DIRECTLY TO OPERATING STATEMENTS FOR THE PERIOD USED.</t>
  </si>
  <si>
    <t>Complete the supporting tabs to compile costs of providing this service.  Summarize the totals from other tabs in the  summary below, and fill in the desired rates for each user goup.  Text in green needs to be updated (or added to).  Add to this template as needed. ALL COSTS INCLUDED IN THIS ANALYSIS SHOULD BE EXPENSES ON THE REVOLVING ACCOUNT SHOWN ABOVE.</t>
  </si>
  <si>
    <t>or contact Financial Analysis at 355-5029 with questions.</t>
  </si>
  <si>
    <t>KFS Object &amp; Description</t>
  </si>
  <si>
    <t>% of Annual Operating Expenses</t>
  </si>
  <si>
    <t>PERIOD BETWEEN REQUIRED BIENNIAL RATE REVIEWS</t>
  </si>
  <si>
    <t>Departmental Notes/Documentation</t>
  </si>
  <si>
    <t>Example notes include decision on exclusion of deficit from billing rate, decision to factor 100% or 90% of surplus into billing rate, determination of anticipated capital needs, etc.</t>
  </si>
  <si>
    <t>REVENUE - Prior Period (most recent fiscal year - up to 2 fiscal years if have know anomalies)</t>
  </si>
  <si>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</si>
  <si>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</si>
  <si>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r>
      <rPr>
        <b/>
        <sz val="10"/>
        <rFont val="Calibri"/>
        <family val="2"/>
        <scheme val="minor"/>
      </rPr>
      <t>The department can figure in antipcated capital needs</t>
    </r>
    <r>
      <rPr>
        <sz val="10"/>
        <rFont val="Calibri"/>
        <family val="2"/>
        <scheme val="minor"/>
      </rPr>
      <t xml:space="preserve"> within the next two years when considering inclusion of the cumulative surplus/deficit impact into the billing rates.</t>
    </r>
  </si>
  <si>
    <t>EXPENSES OR COSTS - Prior Period (most recent fiscal year - up to 2 fiscal years if have know anomalies)</t>
  </si>
  <si>
    <r>
      <t>All formula fields throughout this workbook are in</t>
    </r>
    <r>
      <rPr>
        <sz val="14"/>
        <color rgb="FF0070C0"/>
        <rFont val="Calibri"/>
        <family val="2"/>
        <scheme val="minor"/>
      </rPr>
      <t xml:space="preserve"> BLUE FONT.  </t>
    </r>
  </si>
  <si>
    <t>Total Expenses Incurred for Performing this Service in Prior Year</t>
  </si>
  <si>
    <t>ENDING FUND BALANCE AS OF PRIOR FISCAL YEAR
(KFS Beginning Balance  Line Amount for 3*** object code for Lookback Period)</t>
  </si>
  <si>
    <t>All items highlighted light orange are manually entered by the department.</t>
  </si>
  <si>
    <t>Description of Service:</t>
  </si>
  <si>
    <t>Title of Service:</t>
  </si>
  <si>
    <t>Student</t>
  </si>
  <si>
    <t>Accountant</t>
  </si>
  <si>
    <t>6489-Preventative maintenance</t>
  </si>
  <si>
    <t>6600-Telephone</t>
  </si>
  <si>
    <t>6397- Conference fees</t>
  </si>
  <si>
    <t>TOTAL DIRECT PERSONNEL COSTS</t>
  </si>
  <si>
    <t>TEST:</t>
  </si>
  <si>
    <t>Test</t>
  </si>
  <si>
    <t>GRAND TOTAL BILLABLE HOURS</t>
  </si>
  <si>
    <t>TOTAL TESTS (from Tab/Page 2)</t>
  </si>
  <si>
    <t xml:space="preserve"> PER BILLABLE TEST (to Tab/Page 1)</t>
  </si>
  <si>
    <t>PER TEST (to Tab/Page 1)</t>
  </si>
  <si>
    <t>TOTAL BILLABLE TESTS</t>
  </si>
  <si>
    <t>TOTAL BILLABLE TEST</t>
  </si>
  <si>
    <t xml:space="preserve"># of Tests Rate Applied </t>
  </si>
  <si>
    <t>SUMMARY OF SERVICES</t>
  </si>
  <si>
    <t>Test #1</t>
  </si>
  <si>
    <t>Employee #1</t>
  </si>
  <si>
    <t>Employee #2</t>
  </si>
  <si>
    <t>Employee #3</t>
  </si>
  <si>
    <t>Director</t>
  </si>
  <si>
    <t>Tech</t>
  </si>
  <si>
    <t>Test #2</t>
  </si>
  <si>
    <t>Test #3</t>
  </si>
  <si>
    <t>Test #4</t>
  </si>
  <si>
    <t>Test #5</t>
  </si>
  <si>
    <t>Test #6</t>
  </si>
  <si>
    <t>Test #7</t>
  </si>
  <si>
    <t>Test #8</t>
  </si>
  <si>
    <t>Employee #4</t>
  </si>
  <si>
    <t>Total</t>
  </si>
  <si>
    <t>Service</t>
  </si>
  <si>
    <t># of Tests Rate Applied %</t>
  </si>
  <si>
    <t>Allocated Indirect Cost</t>
  </si>
  <si>
    <r>
      <rPr>
        <b/>
        <u/>
        <sz val="8"/>
        <rFont val="Arial"/>
        <family val="2"/>
      </rPr>
      <t>LOE Example Language:</t>
    </r>
    <r>
      <rPr>
        <sz val="8"/>
        <rFont val="Arial"/>
        <family val="2"/>
      </rPr>
      <t xml:space="preserve"> LOE determined based on manager input and historical data ; LOE obtained from CGA's reporting site ; etc.</t>
    </r>
  </si>
  <si>
    <t>DIRECT PERSONNEL COSTS: Level of Effort Determination Documentation</t>
  </si>
  <si>
    <t>INDIRECT PERSONNEL COSTS: Level of Effort Determination Documentation</t>
  </si>
  <si>
    <t>Student #1</t>
  </si>
  <si>
    <t>Total % Effort on This Service/Acct**</t>
  </si>
  <si>
    <t>Max % Allowed</t>
  </si>
  <si>
    <t>&gt; Max?</t>
  </si>
  <si>
    <t>Note</t>
  </si>
  <si>
    <t>Submission Date:</t>
  </si>
  <si>
    <t>XT123456</t>
  </si>
  <si>
    <t>GEN</t>
  </si>
  <si>
    <t>Department of Cost Accounting</t>
  </si>
  <si>
    <t>Departmental Contact (XXX) XXX-XXXX</t>
  </si>
  <si>
    <t>Template: Multiple Test Rates</t>
  </si>
  <si>
    <t>Hourly Professional Services/Design Services/or Other Serivces (billed based on labor hours)</t>
  </si>
  <si>
    <t>Decription of the service provided</t>
  </si>
  <si>
    <t>Renewal</t>
  </si>
  <si>
    <r>
      <rPr>
        <b/>
        <u/>
        <sz val="8"/>
        <rFont val="Calibri"/>
        <family val="2"/>
        <scheme val="minor"/>
      </rPr>
      <t xml:space="preserve">Example Language: </t>
    </r>
    <r>
      <rPr>
        <sz val="8"/>
        <rFont val="Calibri"/>
        <family val="2"/>
        <scheme val="minor"/>
      </rPr>
      <t>Prevailing Market Price (could also be to fund other dept. activities or build reserves; make sure it at least covers the automatic charge for external users [26%  for DY; 2% for DS &amp; XT])</t>
    </r>
  </si>
  <si>
    <t>Approval Letter Date:</t>
  </si>
  <si>
    <t>CUMULATIVE LOOKBACK REDUCTION (RECOVERY)</t>
  </si>
  <si>
    <t>All items highlighted light blue are manually entered by FA.</t>
  </si>
  <si>
    <t>ESTIMATED # OF TESTS: Estimated # of Tests Determination Documentation</t>
  </si>
  <si>
    <r>
      <rPr>
        <b/>
        <u/>
        <sz val="8"/>
        <rFont val="Arial"/>
        <family val="2"/>
      </rPr>
      <t>Estimated # of Tests Example Language:</t>
    </r>
    <r>
      <rPr>
        <sz val="8"/>
        <rFont val="Arial"/>
        <family val="2"/>
      </rPr>
      <t xml:space="preserve"> # of participants based on prior year enrollment, etc.</t>
    </r>
  </si>
  <si>
    <t>DIRECT COSTS</t>
  </si>
  <si>
    <t>PAGE 5</t>
  </si>
  <si>
    <t>INDIRECT COSTS</t>
  </si>
  <si>
    <t>FOR FA USE ONLY: LEVEL OF EFFORT CHECK</t>
  </si>
  <si>
    <t>LOOKBACK ADJUSTMENT (PAGE/TAB 5)</t>
  </si>
  <si>
    <t>INDIRECT LABOR 
PER TEST 
(PAGE/TAB 2)</t>
  </si>
  <si>
    <t>DIRECT COSTS 
PER TEST
(PAGE/TAB 3)</t>
  </si>
  <si>
    <t>INDIRECT COSTS 
PER TEST
(PAGE/TAB 3)</t>
  </si>
  <si>
    <t>DIRECT LABOR  
PER TEST 
(PAGE/TAB2)</t>
  </si>
  <si>
    <t>EQUIPMENT USE 
PER TEST
(PAGE/TAB 4)</t>
  </si>
  <si>
    <t>PER TEST (to Page/Tab 1)</t>
  </si>
  <si>
    <t>SALARY EMPLOYEES:</t>
  </si>
  <si>
    <t>HOURLY EMPLOYEES:</t>
  </si>
  <si>
    <t>Employee</t>
  </si>
  <si>
    <t>Employee Title</t>
  </si>
  <si>
    <t>Anticipated Hours Worked</t>
  </si>
  <si>
    <t>Hourly Rate</t>
  </si>
  <si>
    <t>Annual Labor and Fringe</t>
  </si>
  <si>
    <t>Graduate Assistant #1</t>
  </si>
  <si>
    <t>External</t>
  </si>
  <si>
    <t>Internal</t>
  </si>
  <si>
    <t>Federal Grant</t>
  </si>
  <si>
    <t>GRAND TOTAL EQUIPMENT USE FEE</t>
  </si>
  <si>
    <t>GRAND TOTAL INDIRECT COSTS</t>
  </si>
  <si>
    <t>GRAND TOTAL DIRECT COSTS</t>
  </si>
  <si>
    <t>Total Direct Costs</t>
  </si>
  <si>
    <t>TOTAL DIRECT COSTS (to Page/Tab 1)</t>
  </si>
  <si>
    <t>Total Indirect Costs</t>
  </si>
  <si>
    <t>TOTAL INDIRECT COSTS (to Page/Tab 1)</t>
  </si>
  <si>
    <t>GRAND TOTAL BILLABLE TESTS</t>
  </si>
  <si>
    <t>TOTAL EQUIPMENT USE FEE (to Page/Tab 1)</t>
  </si>
  <si>
    <t>See below +26%</t>
  </si>
  <si>
    <t>If update/renewal, complete lookback analysis on Page/Tab 5</t>
  </si>
  <si>
    <t>to Page/Tab 5</t>
  </si>
  <si>
    <t>Annual Operating Expenses</t>
  </si>
  <si>
    <t>Direct Personnel</t>
  </si>
  <si>
    <t>Indirect Personnel</t>
  </si>
  <si>
    <t>Direct Costs</t>
  </si>
  <si>
    <t>Indirect Costs</t>
  </si>
  <si>
    <t>Equipment Use Fee</t>
  </si>
  <si>
    <t>UNADJUSTED CUMULATIVE SURPLUS (DEFICIT) FOR THE SERVICE</t>
  </si>
  <si>
    <t>LESS ALLOWABLE CUMULATIVE SURPLUS NOT EXCEEDING 10% OF ANNUAL OPERATING EXPENSES</t>
  </si>
  <si>
    <t>ADJUSTED CUMULATIVE SURPLUS (DEFICIT) FOR RATE ALLOCATION</t>
  </si>
  <si>
    <t>ANTICIPATED CAPITAL NEEDS WITHIN THE NEXT TWO YEARS</t>
  </si>
  <si>
    <t>ADJUSTED CUMULATIVE SURPLUS (DEFICIT) USED FOR RATE ALLOCATION</t>
  </si>
  <si>
    <t>TOTAL TESTS IN TIME BETWEEN RATE RENEWALS</t>
  </si>
  <si>
    <t>LOOKBACK PERCENTAGE USED FOR RATE ALLOCATION</t>
  </si>
  <si>
    <t>CUMULATIVE LOOKBACK REDUCTION (RECOVERY) USED FOR RATE</t>
  </si>
  <si>
    <t>Account #:</t>
  </si>
  <si>
    <t>Sub Account #:</t>
  </si>
  <si>
    <t>[1]</t>
  </si>
  <si>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</si>
  <si>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t>[3]</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</si>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</sst>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_(* #,##0_);_(* \(#,##0\);_(* &quot;-&quot;??_);_(@_)"/>
  </numFmts>
  <fonts count="50" x14ac:knownFonts="1">
    <font>
      <sz val="8"/>
      <name val="Arial"/>
    </font>
    <font>
      <sz val="11"/>
      <color theme="1"/>
      <name val="Calibri"/>
      <family val="2"/>
      <scheme val="minor"/>
    </font>
    <font>
      <sz val="8"/>
      <name val="Arial"/>
      <family val="2"/>
    </font>
    <font>
      <b/>
      <sz val="8"/>
      <name val="Arial"/>
      <family val="2"/>
    </font>
    <font>
      <b/>
      <sz val="10"/>
      <name val="Arial"/>
      <family val="2"/>
    </font>
    <font>
      <sz val="8"/>
      <name val="Arial"/>
      <family val="2"/>
    </font>
    <font>
      <b/>
      <sz val="9"/>
      <color indexed="10"/>
      <name val="Arial"/>
      <family val="2"/>
    </font>
    <font>
      <sz val="9"/>
      <name val="Arial"/>
      <family val="2"/>
    </font>
    <font>
      <sz val="10"/>
      <name val="Calibri"/>
      <family val="2"/>
    </font>
    <font>
      <b/>
      <sz val="10"/>
      <name val="Calibri"/>
      <family val="2"/>
    </font>
    <font>
      <b/>
      <u/>
      <sz val="10"/>
      <color indexed="12"/>
      <name val="Calibri"/>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b/>
      <sz val="12"/>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sz val="8"/>
      <color rgb="FF00B050"/>
      <name val="Calibri"/>
      <family val="2"/>
      <scheme val="minor"/>
    </font>
    <font>
      <b/>
      <sz val="11"/>
      <name val="Calibri"/>
      <family val="2"/>
      <scheme val="minor"/>
    </font>
    <font>
      <sz val="10"/>
      <color rgb="FFFF0000"/>
      <name val="Calibri"/>
      <family val="2"/>
      <scheme val="minor"/>
    </font>
    <font>
      <u/>
      <sz val="8"/>
      <color theme="10"/>
      <name val="Arial"/>
      <family val="2"/>
    </font>
    <font>
      <sz val="8"/>
      <name val="Tahoma"/>
      <family val="2"/>
    </font>
    <font>
      <b/>
      <sz val="8"/>
      <name val="Tahoma"/>
      <family val="2"/>
    </font>
    <font>
      <b/>
      <u/>
      <sz val="10"/>
      <name val="Arial"/>
      <family val="2"/>
    </font>
    <font>
      <sz val="8"/>
      <color rgb="FFFF0000"/>
      <name val="Arial"/>
      <family val="2"/>
    </font>
    <font>
      <b/>
      <sz val="8"/>
      <color rgb="FF0070C0"/>
      <name val="Calibri"/>
      <family val="2"/>
      <scheme val="minor"/>
    </font>
    <font>
      <sz val="8"/>
      <color rgb="FF0070C0"/>
      <name val="Calibri"/>
      <family val="2"/>
      <scheme val="minor"/>
    </font>
    <font>
      <sz val="10"/>
      <color rgb="FF0070C0"/>
      <name val="Calibri"/>
      <family val="2"/>
      <scheme val="minor"/>
    </font>
    <font>
      <sz val="8"/>
      <color rgb="FF0070C0"/>
      <name val="Arial"/>
      <family val="2"/>
    </font>
    <font>
      <sz val="8"/>
      <color rgb="FF0070C0"/>
      <name val="Tahoma"/>
      <family val="2"/>
    </font>
    <font>
      <b/>
      <sz val="8"/>
      <color rgb="FF0070C0"/>
      <name val="Tahoma"/>
      <family val="2"/>
    </font>
    <font>
      <b/>
      <sz val="8"/>
      <color rgb="FF0070C0"/>
      <name val="Arial"/>
      <family val="2"/>
    </font>
    <font>
      <b/>
      <sz val="10"/>
      <color rgb="FF0070C0"/>
      <name val="Arial"/>
      <family val="2"/>
    </font>
    <font>
      <b/>
      <sz val="10"/>
      <color rgb="FF0070C0"/>
      <name val="Calibri"/>
      <family val="2"/>
      <scheme val="minor"/>
    </font>
    <font>
      <sz val="14"/>
      <name val="Calibri"/>
      <family val="2"/>
      <scheme val="minor"/>
    </font>
    <font>
      <sz val="14"/>
      <color rgb="FF0070C0"/>
      <name val="Calibri"/>
      <family val="2"/>
      <scheme val="minor"/>
    </font>
    <font>
      <b/>
      <sz val="8"/>
      <color rgb="FF00B050"/>
      <name val="Arial"/>
      <family val="2"/>
    </font>
    <font>
      <sz val="9"/>
      <color indexed="81"/>
      <name val="Tahoma"/>
      <family val="2"/>
    </font>
    <font>
      <b/>
      <sz val="9"/>
      <color indexed="81"/>
      <name val="Tahoma"/>
      <family val="2"/>
    </font>
    <font>
      <sz val="10"/>
      <name val="Verdana"/>
      <family val="2"/>
    </font>
    <font>
      <sz val="11"/>
      <color rgb="FF0070C0"/>
      <name val="Calibri"/>
      <family val="2"/>
      <scheme val="minor"/>
    </font>
    <font>
      <sz val="11"/>
      <color rgb="FF1F497D"/>
      <name val="Calibri"/>
      <family val="2"/>
    </font>
    <font>
      <b/>
      <u/>
      <sz val="8"/>
      <name val="Arial"/>
      <family val="2"/>
    </font>
    <font>
      <b/>
      <u/>
      <sz val="8"/>
      <name val="Calibri"/>
      <family val="2"/>
      <scheme val="minor"/>
    </font>
    <font>
      <b/>
      <sz val="10"/>
      <name val="Tahoma"/>
      <family val="2"/>
    </font>
    <font>
      <b/>
      <sz val="8"/>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92D050"/>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4">
    <xf numFmtId="0" fontId="0" fillId="0" borderId="0"/>
    <xf numFmtId="43" fontId="2" fillId="0" borderId="0" applyFont="0" applyFill="0" applyBorder="0" applyAlignment="0" applyProtection="0"/>
    <xf numFmtId="44" fontId="2" fillId="0" borderId="0" applyFont="0" applyFill="0" applyBorder="0" applyAlignment="0" applyProtection="0"/>
    <xf numFmtId="0" fontId="24" fillId="0" borderId="0" applyNumberFormat="0" applyFill="0" applyBorder="0" applyAlignment="0" applyProtection="0">
      <alignment vertical="top"/>
      <protection locked="0"/>
    </xf>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43" fillId="0" borderId="0"/>
    <xf numFmtId="9" fontId="1" fillId="0" borderId="0" applyFont="0" applyFill="0" applyBorder="0" applyAlignment="0" applyProtection="0"/>
    <xf numFmtId="9" fontId="2" fillId="0" borderId="0" applyFont="0" applyFill="0" applyBorder="0" applyAlignment="0" applyProtection="0"/>
  </cellStyleXfs>
  <cellXfs count="296">
    <xf numFmtId="0" fontId="0" fillId="0" borderId="0" xfId="0"/>
    <xf numFmtId="0" fontId="3" fillId="0" borderId="0" xfId="0" applyFont="1" applyAlignment="1">
      <alignment horizontal="center"/>
    </xf>
    <xf numFmtId="0" fontId="3"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0" fontId="4"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0" fontId="5" fillId="0" borderId="0" xfId="0" applyFont="1"/>
    <xf numFmtId="49" fontId="5" fillId="0" borderId="0" xfId="0" applyNumberFormat="1" applyFont="1" applyAlignment="1">
      <alignment horizontal="center"/>
    </xf>
    <xf numFmtId="164" fontId="5" fillId="0" borderId="0" xfId="0" applyNumberFormat="1" applyFont="1"/>
    <xf numFmtId="0" fontId="5" fillId="0" borderId="0" xfId="0" applyFont="1" applyAlignment="1">
      <alignment horizontal="center"/>
    </xf>
    <xf numFmtId="0" fontId="3" fillId="0" borderId="0" xfId="0" applyFont="1" applyAlignment="1">
      <alignment horizontal="right"/>
    </xf>
    <xf numFmtId="0" fontId="3" fillId="0" borderId="2" xfId="0" applyFont="1" applyBorder="1" applyAlignment="1">
      <alignment horizontal="center" wrapText="1"/>
    </xf>
    <xf numFmtId="0" fontId="6" fillId="0" borderId="0" xfId="0" applyFont="1"/>
    <xf numFmtId="0" fontId="7" fillId="0" borderId="0" xfId="0" applyFont="1"/>
    <xf numFmtId="0" fontId="3" fillId="0" borderId="0" xfId="0" applyFont="1"/>
    <xf numFmtId="165" fontId="0" fillId="0" borderId="0" xfId="0" applyNumberFormat="1"/>
    <xf numFmtId="10" fontId="0" fillId="0" borderId="0" xfId="4" applyNumberFormat="1" applyFont="1" applyBorder="1" applyAlignment="1">
      <alignment horizontal="right"/>
    </xf>
    <xf numFmtId="10" fontId="3" fillId="0" borderId="0" xfId="4" applyNumberFormat="1" applyFont="1" applyBorder="1" applyAlignment="1">
      <alignment horizontal="right"/>
    </xf>
    <xf numFmtId="10" fontId="5" fillId="0" borderId="0" xfId="4" applyNumberFormat="1" applyFont="1" applyBorder="1" applyAlignment="1">
      <alignment horizontal="right"/>
    </xf>
    <xf numFmtId="165" fontId="3" fillId="0" borderId="0" xfId="0" applyNumberFormat="1" applyFont="1"/>
    <xf numFmtId="41" fontId="0" fillId="0" borderId="0" xfId="0" applyNumberFormat="1"/>
    <xf numFmtId="0" fontId="11" fillId="0" borderId="0" xfId="0" applyFont="1"/>
    <xf numFmtId="0" fontId="11" fillId="0" borderId="1" xfId="0" applyFont="1" applyBorder="1"/>
    <xf numFmtId="0" fontId="12" fillId="0" borderId="0" xfId="0" applyFont="1"/>
    <xf numFmtId="0" fontId="11" fillId="0" borderId="0" xfId="0" applyFont="1" applyAlignment="1">
      <alignment horizontal="left"/>
    </xf>
    <xf numFmtId="0" fontId="13" fillId="0" borderId="0" xfId="0" applyFont="1"/>
    <xf numFmtId="0" fontId="14" fillId="0" borderId="0" xfId="0" applyFont="1"/>
    <xf numFmtId="0" fontId="0" fillId="4" borderId="0" xfId="0" applyFill="1"/>
    <xf numFmtId="0" fontId="3" fillId="0" borderId="2" xfId="0" applyFont="1" applyBorder="1" applyAlignment="1">
      <alignment wrapText="1"/>
    </xf>
    <xf numFmtId="44" fontId="13" fillId="0" borderId="0" xfId="2" applyFont="1" applyBorder="1"/>
    <xf numFmtId="0" fontId="4" fillId="4" borderId="0" xfId="0" applyFont="1" applyFill="1"/>
    <xf numFmtId="0" fontId="3" fillId="0" borderId="5" xfId="0" applyFont="1" applyBorder="1" applyAlignment="1">
      <alignment horizontal="left"/>
    </xf>
    <xf numFmtId="49" fontId="3" fillId="0" borderId="5" xfId="0" applyNumberFormat="1" applyFont="1" applyBorder="1" applyAlignment="1">
      <alignment horizontal="center" wrapText="1"/>
    </xf>
    <xf numFmtId="0" fontId="3" fillId="0" borderId="5" xfId="0" applyFont="1" applyBorder="1" applyAlignment="1">
      <alignment horizontal="center" wrapText="1"/>
    </xf>
    <xf numFmtId="0" fontId="3" fillId="0" borderId="5" xfId="0" applyFont="1" applyBorder="1" applyAlignment="1">
      <alignment horizontal="center"/>
    </xf>
    <xf numFmtId="0" fontId="11" fillId="0" borderId="0" xfId="0" applyFont="1" applyAlignment="1">
      <alignment horizontal="right"/>
    </xf>
    <xf numFmtId="0" fontId="16" fillId="0" borderId="0" xfId="0" applyFont="1"/>
    <xf numFmtId="41" fontId="16" fillId="0" borderId="0" xfId="0" applyNumberFormat="1" applyFont="1"/>
    <xf numFmtId="0" fontId="17" fillId="0" borderId="1" xfId="0" applyFont="1" applyBorder="1"/>
    <xf numFmtId="41" fontId="17" fillId="0" borderId="0" xfId="0" applyNumberFormat="1" applyFont="1" applyAlignment="1">
      <alignment horizontal="center"/>
    </xf>
    <xf numFmtId="41" fontId="17" fillId="0" borderId="1" xfId="0" applyNumberFormat="1" applyFont="1" applyBorder="1" applyAlignment="1">
      <alignment horizontal="center" wrapText="1"/>
    </xf>
    <xf numFmtId="0" fontId="15" fillId="0" borderId="1" xfId="0" applyFont="1" applyBorder="1"/>
    <xf numFmtId="0" fontId="18" fillId="0" borderId="0" xfId="0" applyFont="1"/>
    <xf numFmtId="0" fontId="18" fillId="0" borderId="8" xfId="0" applyFont="1" applyBorder="1"/>
    <xf numFmtId="0" fontId="19" fillId="0" borderId="9" xfId="0" applyFont="1" applyBorder="1"/>
    <xf numFmtId="0" fontId="4" fillId="0" borderId="0" xfId="0" applyFont="1"/>
    <xf numFmtId="0" fontId="12" fillId="0" borderId="1" xfId="0" applyFont="1" applyBorder="1"/>
    <xf numFmtId="0" fontId="20" fillId="0" borderId="1" xfId="0" applyFont="1" applyBorder="1"/>
    <xf numFmtId="0" fontId="20" fillId="0" borderId="0" xfId="0" applyFont="1"/>
    <xf numFmtId="0" fontId="14" fillId="0" borderId="0" xfId="0" applyFont="1" applyAlignment="1">
      <alignment horizontal="left"/>
    </xf>
    <xf numFmtId="0" fontId="18" fillId="0" borderId="0" xfId="0" applyFont="1" applyAlignment="1">
      <alignment horizontal="left"/>
    </xf>
    <xf numFmtId="0" fontId="12" fillId="2" borderId="0" xfId="0" applyFont="1" applyFill="1"/>
    <xf numFmtId="44" fontId="16" fillId="0" borderId="0" xfId="2" applyFont="1"/>
    <xf numFmtId="0" fontId="12" fillId="0" borderId="0" xfId="0" applyFont="1" applyAlignment="1">
      <alignment horizontal="left" vertical="top" wrapText="1"/>
    </xf>
    <xf numFmtId="0" fontId="12" fillId="0" borderId="0" xfId="0" applyFont="1" applyAlignment="1">
      <alignment horizontal="left" vertical="top"/>
    </xf>
    <xf numFmtId="0" fontId="24" fillId="0" borderId="0" xfId="3" applyAlignment="1" applyProtection="1"/>
    <xf numFmtId="49" fontId="24" fillId="0" borderId="0" xfId="3" applyNumberFormat="1" applyAlignment="1" applyProtection="1">
      <alignment horizontal="center"/>
    </xf>
    <xf numFmtId="164" fontId="24" fillId="0" borderId="0" xfId="3" applyNumberFormat="1" applyAlignment="1" applyProtection="1"/>
    <xf numFmtId="165" fontId="5" fillId="0" borderId="0" xfId="4" applyNumberFormat="1" applyFont="1" applyBorder="1" applyAlignment="1">
      <alignment horizontal="right"/>
    </xf>
    <xf numFmtId="0" fontId="26" fillId="0" borderId="0" xfId="0" applyFont="1"/>
    <xf numFmtId="44" fontId="26" fillId="0" borderId="0" xfId="2" applyFont="1" applyFill="1" applyBorder="1" applyAlignment="1" applyProtection="1"/>
    <xf numFmtId="0" fontId="25" fillId="0" borderId="0" xfId="0" applyFont="1"/>
    <xf numFmtId="40" fontId="25" fillId="0" borderId="0" xfId="0" applyNumberFormat="1" applyFont="1"/>
    <xf numFmtId="164" fontId="26" fillId="0" borderId="0" xfId="2" applyNumberFormat="1" applyFont="1" applyFill="1" applyBorder="1" applyAlignment="1" applyProtection="1"/>
    <xf numFmtId="164" fontId="25" fillId="0" borderId="0" xfId="2" applyNumberFormat="1" applyFont="1" applyFill="1" applyBorder="1" applyAlignment="1" applyProtection="1"/>
    <xf numFmtId="44" fontId="0" fillId="0" borderId="0" xfId="2" applyFont="1" applyBorder="1"/>
    <xf numFmtId="164" fontId="0" fillId="4" borderId="0" xfId="0" applyNumberFormat="1" applyFill="1"/>
    <xf numFmtId="164" fontId="26" fillId="0" borderId="0" xfId="2" applyNumberFormat="1" applyFont="1" applyFill="1" applyBorder="1" applyAlignment="1" applyProtection="1">
      <alignment horizontal="right"/>
    </xf>
    <xf numFmtId="166" fontId="26" fillId="0" borderId="0" xfId="1" applyNumberFormat="1" applyFont="1" applyFill="1" applyBorder="1" applyAlignment="1" applyProtection="1">
      <alignment horizontal="right"/>
    </xf>
    <xf numFmtId="41" fontId="17" fillId="0" borderId="0" xfId="0" applyNumberFormat="1" applyFont="1" applyAlignment="1">
      <alignment horizontal="center" wrapText="1"/>
    </xf>
    <xf numFmtId="44" fontId="17" fillId="0" borderId="0" xfId="2" applyFont="1" applyBorder="1" applyAlignment="1">
      <alignment horizontal="center" wrapText="1"/>
    </xf>
    <xf numFmtId="44" fontId="3" fillId="0" borderId="0" xfId="2" applyFont="1" applyFill="1" applyBorder="1"/>
    <xf numFmtId="0" fontId="3" fillId="5" borderId="1" xfId="0" applyFont="1" applyFill="1" applyBorder="1" applyAlignment="1">
      <alignment horizontal="left"/>
    </xf>
    <xf numFmtId="0" fontId="3" fillId="5" borderId="1" xfId="0" applyFont="1" applyFill="1" applyBorder="1" applyAlignment="1">
      <alignment horizontal="center" wrapText="1"/>
    </xf>
    <xf numFmtId="49" fontId="3" fillId="5" borderId="1" xfId="0" applyNumberFormat="1" applyFont="1" applyFill="1" applyBorder="1" applyAlignment="1">
      <alignment horizontal="right" wrapText="1"/>
    </xf>
    <xf numFmtId="44" fontId="5" fillId="0" borderId="0" xfId="2" applyFont="1" applyBorder="1"/>
    <xf numFmtId="0" fontId="4" fillId="0" borderId="0" xfId="0" applyFont="1" applyAlignment="1">
      <alignment horizontal="right"/>
    </xf>
    <xf numFmtId="49" fontId="3" fillId="0" borderId="0" xfId="0" applyNumberFormat="1" applyFont="1" applyAlignment="1">
      <alignment horizontal="right"/>
    </xf>
    <xf numFmtId="44" fontId="3" fillId="0" borderId="0" xfId="2" applyFont="1" applyBorder="1" applyAlignment="1">
      <alignment horizontal="right"/>
    </xf>
    <xf numFmtId="0" fontId="15" fillId="5" borderId="6" xfId="0" applyFont="1" applyFill="1" applyBorder="1"/>
    <xf numFmtId="0" fontId="18" fillId="0" borderId="0" xfId="0" applyFont="1" applyAlignment="1">
      <alignment horizontal="left" vertical="top" wrapText="1"/>
    </xf>
    <xf numFmtId="0" fontId="21" fillId="0" borderId="0" xfId="0" applyFont="1" applyAlignment="1">
      <alignment horizontal="left" vertical="top" wrapText="1"/>
    </xf>
    <xf numFmtId="0" fontId="17" fillId="0" borderId="0" xfId="0" applyFont="1"/>
    <xf numFmtId="0" fontId="12" fillId="0" borderId="22" xfId="0" applyFont="1" applyBorder="1" applyAlignment="1">
      <alignment horizontal="center" wrapText="1"/>
    </xf>
    <xf numFmtId="49" fontId="0" fillId="4" borderId="0" xfId="0" applyNumberFormat="1" applyFill="1" applyAlignment="1">
      <alignment horizontal="center"/>
    </xf>
    <xf numFmtId="0" fontId="0" fillId="4" borderId="0" xfId="0" applyFill="1" applyAlignment="1">
      <alignment horizontal="center"/>
    </xf>
    <xf numFmtId="0" fontId="12" fillId="4" borderId="0" xfId="0" applyFont="1" applyFill="1"/>
    <xf numFmtId="0" fontId="16" fillId="4" borderId="0" xfId="0" applyFont="1" applyFill="1"/>
    <xf numFmtId="0" fontId="28" fillId="0" borderId="0" xfId="0" applyFont="1"/>
    <xf numFmtId="49" fontId="28" fillId="0" borderId="0" xfId="0" applyNumberFormat="1" applyFont="1" applyAlignment="1">
      <alignment horizontal="center"/>
    </xf>
    <xf numFmtId="164" fontId="28" fillId="0" borderId="0" xfId="0" applyNumberFormat="1" applyFont="1"/>
    <xf numFmtId="0" fontId="28" fillId="0" borderId="0" xfId="0" applyFont="1" applyAlignment="1">
      <alignment horizontal="center"/>
    </xf>
    <xf numFmtId="0" fontId="28" fillId="0" borderId="0" xfId="0" applyFont="1" applyAlignment="1">
      <alignment horizontal="left" indent="2"/>
    </xf>
    <xf numFmtId="0" fontId="0" fillId="0" borderId="0" xfId="0" applyAlignment="1">
      <alignment horizontal="left" indent="3"/>
    </xf>
    <xf numFmtId="10" fontId="11" fillId="0" borderId="0" xfId="7" applyNumberFormat="1" applyFont="1" applyFill="1"/>
    <xf numFmtId="0" fontId="22" fillId="0" borderId="0" xfId="0" applyFont="1"/>
    <xf numFmtId="44" fontId="11" fillId="0" borderId="0" xfId="2" applyFont="1" applyFill="1"/>
    <xf numFmtId="0" fontId="12" fillId="0" borderId="1" xfId="0" applyFont="1" applyBorder="1" applyAlignment="1">
      <alignment horizontal="center" wrapText="1"/>
    </xf>
    <xf numFmtId="0" fontId="12" fillId="0" borderId="0" xfId="0" applyFont="1" applyAlignment="1">
      <alignment horizontal="right"/>
    </xf>
    <xf numFmtId="0" fontId="9" fillId="0" borderId="0" xfId="0" applyFont="1" applyAlignment="1">
      <alignment horizontal="left" vertical="top"/>
    </xf>
    <xf numFmtId="0" fontId="30" fillId="0" borderId="0" xfId="0" applyFont="1"/>
    <xf numFmtId="44" fontId="29" fillId="0" borderId="0" xfId="0" applyNumberFormat="1" applyFont="1"/>
    <xf numFmtId="0" fontId="31" fillId="0" borderId="0" xfId="0" applyFont="1"/>
    <xf numFmtId="0" fontId="16" fillId="0" borderId="0" xfId="0" applyFont="1" applyAlignment="1">
      <alignment horizontal="center" wrapText="1"/>
    </xf>
    <xf numFmtId="164" fontId="32" fillId="0" borderId="0" xfId="0" applyNumberFormat="1" applyFont="1"/>
    <xf numFmtId="166" fontId="32" fillId="0" borderId="0" xfId="1" applyNumberFormat="1" applyFont="1" applyBorder="1"/>
    <xf numFmtId="166" fontId="32" fillId="0" borderId="0" xfId="1" applyNumberFormat="1" applyFont="1"/>
    <xf numFmtId="164" fontId="33" fillId="0" borderId="3" xfId="2" applyNumberFormat="1" applyFont="1" applyFill="1" applyBorder="1" applyAlignment="1" applyProtection="1"/>
    <xf numFmtId="164" fontId="34" fillId="0" borderId="3" xfId="2" applyNumberFormat="1" applyFont="1" applyFill="1" applyBorder="1" applyAlignment="1" applyProtection="1"/>
    <xf numFmtId="164" fontId="32" fillId="0" borderId="0" xfId="2" applyNumberFormat="1" applyFont="1" applyFill="1" applyBorder="1"/>
    <xf numFmtId="166" fontId="32" fillId="0" borderId="0" xfId="1" applyNumberFormat="1" applyFont="1" applyFill="1" applyBorder="1"/>
    <xf numFmtId="44" fontId="35" fillId="3" borderId="4" xfId="2" applyFont="1" applyFill="1" applyBorder="1"/>
    <xf numFmtId="0" fontId="32" fillId="0" borderId="0" xfId="0" applyFont="1"/>
    <xf numFmtId="165" fontId="35" fillId="0" borderId="0" xfId="4" applyNumberFormat="1" applyFont="1" applyBorder="1" applyAlignment="1">
      <alignment horizontal="right"/>
    </xf>
    <xf numFmtId="166" fontId="36" fillId="3" borderId="4" xfId="1" applyNumberFormat="1" applyFont="1" applyFill="1" applyBorder="1"/>
    <xf numFmtId="42" fontId="35" fillId="0" borderId="3" xfId="0" applyNumberFormat="1" applyFont="1" applyBorder="1"/>
    <xf numFmtId="42" fontId="32" fillId="0" borderId="3" xfId="0" applyNumberFormat="1" applyFont="1" applyBorder="1"/>
    <xf numFmtId="42" fontId="32" fillId="0" borderId="0" xfId="0" applyNumberFormat="1" applyFont="1"/>
    <xf numFmtId="44" fontId="32" fillId="0" borderId="0" xfId="0" applyNumberFormat="1" applyFont="1"/>
    <xf numFmtId="44" fontId="37" fillId="0" borderId="0" xfId="2" applyFont="1"/>
    <xf numFmtId="44" fontId="37" fillId="0" borderId="3" xfId="2" applyFont="1" applyFill="1" applyBorder="1"/>
    <xf numFmtId="44" fontId="31" fillId="0" borderId="0" xfId="2" applyFont="1" applyFill="1"/>
    <xf numFmtId="166" fontId="31" fillId="0" borderId="0" xfId="10" applyNumberFormat="1" applyFont="1" applyFill="1"/>
    <xf numFmtId="0" fontId="38" fillId="0" borderId="0" xfId="0" applyFont="1"/>
    <xf numFmtId="0" fontId="11" fillId="0" borderId="0" xfId="11" applyFont="1"/>
    <xf numFmtId="0" fontId="3" fillId="0" borderId="2" xfId="0" applyFont="1" applyBorder="1" applyAlignment="1">
      <alignment horizontal="left" wrapText="1"/>
    </xf>
    <xf numFmtId="0" fontId="5" fillId="7" borderId="0" xfId="0" applyFont="1" applyFill="1"/>
    <xf numFmtId="9" fontId="5" fillId="7" borderId="0" xfId="4" applyFont="1" applyFill="1"/>
    <xf numFmtId="41" fontId="5" fillId="7" borderId="0" xfId="0" applyNumberFormat="1" applyFont="1" applyFill="1"/>
    <xf numFmtId="9" fontId="5" fillId="7" borderId="3" xfId="4" applyFont="1" applyFill="1" applyBorder="1"/>
    <xf numFmtId="0" fontId="11" fillId="0" borderId="23" xfId="0" applyFont="1" applyBorder="1"/>
    <xf numFmtId="0" fontId="11" fillId="0" borderId="24" xfId="0" applyFont="1" applyBorder="1"/>
    <xf numFmtId="0" fontId="11" fillId="0" borderId="25" xfId="0" applyFont="1" applyBorder="1"/>
    <xf numFmtId="0" fontId="11" fillId="0" borderId="26" xfId="0" applyFont="1" applyBorder="1"/>
    <xf numFmtId="0" fontId="11" fillId="0" borderId="27" xfId="0" applyFont="1" applyBorder="1"/>
    <xf numFmtId="0" fontId="38" fillId="7" borderId="0" xfId="0" applyFont="1" applyFill="1"/>
    <xf numFmtId="0" fontId="11" fillId="7" borderId="0" xfId="0" applyFont="1" applyFill="1"/>
    <xf numFmtId="0" fontId="11" fillId="0" borderId="28" xfId="0" applyFont="1" applyBorder="1"/>
    <xf numFmtId="0" fontId="11" fillId="0" borderId="29" xfId="0" applyFont="1" applyBorder="1"/>
    <xf numFmtId="0" fontId="11" fillId="0" borderId="30" xfId="0" applyFont="1" applyBorder="1"/>
    <xf numFmtId="0" fontId="11" fillId="7" borderId="1" xfId="0" applyFont="1" applyFill="1" applyBorder="1" applyAlignment="1">
      <alignment horizontal="left"/>
    </xf>
    <xf numFmtId="44" fontId="37" fillId="0" borderId="20" xfId="0" applyNumberFormat="1" applyFont="1" applyBorder="1" applyAlignment="1">
      <alignment horizontal="center" wrapText="1"/>
    </xf>
    <xf numFmtId="44" fontId="37" fillId="0" borderId="21" xfId="0" applyNumberFormat="1" applyFont="1" applyBorder="1" applyAlignment="1">
      <alignment horizontal="center" wrapText="1"/>
    </xf>
    <xf numFmtId="9" fontId="5" fillId="7" borderId="0" xfId="4" applyFont="1" applyFill="1" applyAlignment="1">
      <alignment horizontal="center"/>
    </xf>
    <xf numFmtId="164" fontId="5" fillId="7" borderId="0" xfId="0" applyNumberFormat="1" applyFont="1" applyFill="1"/>
    <xf numFmtId="10" fontId="5" fillId="7" borderId="0" xfId="4" applyNumberFormat="1" applyFont="1" applyFill="1" applyBorder="1" applyAlignment="1">
      <alignment horizontal="center"/>
    </xf>
    <xf numFmtId="9" fontId="5" fillId="7" borderId="0" xfId="4" applyFont="1" applyFill="1" applyBorder="1" applyAlignment="1">
      <alignment horizontal="center"/>
    </xf>
    <xf numFmtId="166" fontId="5" fillId="7" borderId="0" xfId="1" applyNumberFormat="1" applyFont="1" applyFill="1"/>
    <xf numFmtId="0" fontId="2" fillId="0" borderId="0" xfId="16"/>
    <xf numFmtId="165" fontId="32" fillId="0" borderId="0" xfId="0" applyNumberFormat="1" applyFont="1"/>
    <xf numFmtId="44" fontId="29" fillId="0" borderId="0" xfId="2" applyFont="1" applyBorder="1" applyAlignment="1"/>
    <xf numFmtId="44" fontId="30" fillId="0" borderId="0" xfId="2" applyFont="1"/>
    <xf numFmtId="42" fontId="35" fillId="0" borderId="0" xfId="0" applyNumberFormat="1" applyFont="1"/>
    <xf numFmtId="44" fontId="11" fillId="0" borderId="0" xfId="0" applyNumberFormat="1" applyFont="1"/>
    <xf numFmtId="44" fontId="31" fillId="0" borderId="0" xfId="15" applyFont="1"/>
    <xf numFmtId="0" fontId="40" fillId="0" borderId="0" xfId="0" applyFont="1"/>
    <xf numFmtId="44" fontId="35" fillId="0" borderId="0" xfId="2" applyFont="1" applyFill="1" applyBorder="1"/>
    <xf numFmtId="165" fontId="32" fillId="0" borderId="0" xfId="1" applyNumberFormat="1" applyFont="1"/>
    <xf numFmtId="1" fontId="11" fillId="0" borderId="0" xfId="0" applyNumberFormat="1" applyFont="1"/>
    <xf numFmtId="44" fontId="30" fillId="0" borderId="0" xfId="2" applyFont="1" applyAlignment="1">
      <alignment horizontal="center"/>
    </xf>
    <xf numFmtId="44" fontId="30" fillId="0" borderId="0" xfId="20" applyNumberFormat="1" applyFont="1"/>
    <xf numFmtId="43" fontId="11" fillId="0" borderId="0" xfId="1" applyFont="1"/>
    <xf numFmtId="0" fontId="2" fillId="0" borderId="0" xfId="0" applyFont="1" applyAlignment="1">
      <alignment horizontal="right"/>
    </xf>
    <xf numFmtId="43" fontId="11" fillId="0" borderId="0" xfId="0" applyNumberFormat="1" applyFont="1"/>
    <xf numFmtId="9" fontId="11" fillId="0" borderId="0" xfId="4" applyFont="1"/>
    <xf numFmtId="43" fontId="16" fillId="0" borderId="0" xfId="1" applyFont="1"/>
    <xf numFmtId="43" fontId="16" fillId="0" borderId="0" xfId="20" applyNumberFormat="1" applyFont="1"/>
    <xf numFmtId="44" fontId="0" fillId="0" borderId="0" xfId="0" applyNumberFormat="1"/>
    <xf numFmtId="166" fontId="44" fillId="0" borderId="0" xfId="1" applyNumberFormat="1" applyFont="1"/>
    <xf numFmtId="0" fontId="2" fillId="7" borderId="0" xfId="0" applyFont="1" applyFill="1"/>
    <xf numFmtId="0" fontId="0" fillId="8" borderId="0" xfId="0" applyFill="1"/>
    <xf numFmtId="0" fontId="15" fillId="5" borderId="2" xfId="0" applyFont="1" applyFill="1" applyBorder="1" applyAlignment="1">
      <alignment horizontal="centerContinuous"/>
    </xf>
    <xf numFmtId="43" fontId="32" fillId="0" borderId="0" xfId="1" applyFont="1"/>
    <xf numFmtId="166" fontId="44" fillId="0" borderId="0" xfId="0" applyNumberFormat="1" applyFont="1"/>
    <xf numFmtId="166" fontId="31" fillId="0" borderId="0" xfId="1" applyNumberFormat="1" applyFont="1"/>
    <xf numFmtId="0" fontId="32" fillId="0" borderId="0" xfId="0" applyFont="1" applyAlignment="1">
      <alignment horizontal="center"/>
    </xf>
    <xf numFmtId="9" fontId="32" fillId="0" borderId="0" xfId="4" applyFont="1"/>
    <xf numFmtId="166" fontId="35" fillId="0" borderId="0" xfId="1" applyNumberFormat="1" applyFont="1" applyBorder="1" applyAlignment="1">
      <alignment horizontal="right"/>
    </xf>
    <xf numFmtId="43" fontId="35" fillId="0" borderId="0" xfId="0" applyNumberFormat="1" applyFont="1"/>
    <xf numFmtId="0" fontId="0" fillId="0" borderId="1" xfId="0" applyBorder="1"/>
    <xf numFmtId="0" fontId="3" fillId="0" borderId="1" xfId="0" applyFont="1" applyBorder="1" applyAlignment="1">
      <alignment horizontal="right"/>
    </xf>
    <xf numFmtId="166" fontId="31" fillId="0" borderId="1" xfId="1" applyNumberFormat="1" applyFont="1" applyBorder="1"/>
    <xf numFmtId="43" fontId="32" fillId="0" borderId="1" xfId="1" applyFont="1" applyBorder="1"/>
    <xf numFmtId="0" fontId="45" fillId="0" borderId="0" xfId="0" applyFont="1"/>
    <xf numFmtId="42" fontId="2" fillId="7" borderId="0" xfId="0" applyNumberFormat="1" applyFont="1" applyFill="1"/>
    <xf numFmtId="9" fontId="2" fillId="7" borderId="0" xfId="4" applyFont="1" applyFill="1" applyBorder="1"/>
    <xf numFmtId="9" fontId="16" fillId="7" borderId="0" xfId="4" applyFont="1" applyFill="1"/>
    <xf numFmtId="0" fontId="38" fillId="9" borderId="0" xfId="0" applyFont="1" applyFill="1"/>
    <xf numFmtId="0" fontId="11" fillId="9" borderId="0" xfId="0" applyFont="1" applyFill="1"/>
    <xf numFmtId="49" fontId="3" fillId="0" borderId="5" xfId="0" applyNumberFormat="1" applyFont="1" applyBorder="1" applyAlignment="1">
      <alignment horizontal="center"/>
    </xf>
    <xf numFmtId="10" fontId="32" fillId="0" borderId="0" xfId="4" applyNumberFormat="1" applyFont="1" applyBorder="1" applyAlignment="1">
      <alignment horizontal="center"/>
    </xf>
    <xf numFmtId="1" fontId="0" fillId="7" borderId="0" xfId="0" applyNumberFormat="1" applyFill="1" applyAlignment="1">
      <alignment horizontal="center"/>
    </xf>
    <xf numFmtId="0" fontId="15" fillId="5" borderId="7" xfId="0" applyFont="1" applyFill="1" applyBorder="1" applyAlignment="1">
      <alignment horizontal="left"/>
    </xf>
    <xf numFmtId="14" fontId="12" fillId="9" borderId="5" xfId="0" applyNumberFormat="1" applyFont="1" applyFill="1" applyBorder="1" applyAlignment="1">
      <alignment horizontal="left" vertical="top" wrapText="1"/>
    </xf>
    <xf numFmtId="0" fontId="12" fillId="6" borderId="31" xfId="0" applyFont="1" applyFill="1" applyBorder="1"/>
    <xf numFmtId="0" fontId="16" fillId="6" borderId="32" xfId="0" applyFont="1" applyFill="1" applyBorder="1"/>
    <xf numFmtId="0" fontId="16" fillId="6" borderId="33" xfId="0" applyFont="1" applyFill="1" applyBorder="1"/>
    <xf numFmtId="10" fontId="31" fillId="9" borderId="0" xfId="4" applyNumberFormat="1" applyFont="1" applyFill="1" applyBorder="1"/>
    <xf numFmtId="44" fontId="37" fillId="10" borderId="4" xfId="14" applyFont="1" applyFill="1" applyBorder="1"/>
    <xf numFmtId="44" fontId="11" fillId="9" borderId="0" xfId="2" applyFont="1" applyFill="1"/>
    <xf numFmtId="44" fontId="11" fillId="9" borderId="1" xfId="2" applyFont="1" applyFill="1" applyBorder="1"/>
    <xf numFmtId="10" fontId="31" fillId="0" borderId="0" xfId="4" applyNumberFormat="1" applyFont="1" applyFill="1"/>
    <xf numFmtId="44" fontId="11" fillId="9" borderId="0" xfId="9" applyFont="1" applyFill="1"/>
    <xf numFmtId="44" fontId="31" fillId="0" borderId="3" xfId="14" applyFont="1" applyFill="1" applyBorder="1"/>
    <xf numFmtId="10" fontId="2" fillId="9" borderId="0" xfId="4" applyNumberFormat="1" applyFont="1" applyFill="1" applyAlignment="1">
      <alignment horizontal="center"/>
    </xf>
    <xf numFmtId="166" fontId="11" fillId="7" borderId="0" xfId="1" applyNumberFormat="1" applyFont="1" applyFill="1"/>
    <xf numFmtId="166" fontId="11" fillId="7" borderId="1" xfId="1" applyNumberFormat="1" applyFont="1" applyFill="1" applyBorder="1"/>
    <xf numFmtId="49" fontId="40" fillId="9" borderId="1" xfId="0" applyNumberFormat="1" applyFont="1" applyFill="1" applyBorder="1" applyAlignment="1">
      <alignment horizontal="left"/>
    </xf>
    <xf numFmtId="49" fontId="3" fillId="9" borderId="1" xfId="0" applyNumberFormat="1" applyFont="1" applyFill="1" applyBorder="1" applyAlignment="1">
      <alignment horizontal="left"/>
    </xf>
    <xf numFmtId="0" fontId="3" fillId="9" borderId="1" xfId="0" applyFont="1" applyFill="1" applyBorder="1" applyAlignment="1">
      <alignment horizontal="left"/>
    </xf>
    <xf numFmtId="166" fontId="31" fillId="0" borderId="0" xfId="1" applyNumberFormat="1" applyFont="1" applyAlignment="1">
      <alignment horizontal="center"/>
    </xf>
    <xf numFmtId="0" fontId="2" fillId="0" borderId="0" xfId="0" applyFont="1"/>
    <xf numFmtId="166" fontId="5" fillId="0" borderId="0" xfId="1" applyNumberFormat="1" applyFont="1" applyFill="1"/>
    <xf numFmtId="10" fontId="5" fillId="0" borderId="0" xfId="4" applyNumberFormat="1" applyFont="1" applyFill="1" applyBorder="1" applyAlignment="1">
      <alignment horizontal="center"/>
    </xf>
    <xf numFmtId="166" fontId="32" fillId="0" borderId="0" xfId="1" applyNumberFormat="1" applyFont="1" applyFill="1"/>
    <xf numFmtId="1" fontId="0" fillId="0" borderId="0" xfId="0" applyNumberFormat="1" applyAlignment="1">
      <alignment horizontal="center"/>
    </xf>
    <xf numFmtId="164" fontId="32" fillId="0" borderId="3" xfId="4" applyNumberFormat="1" applyFont="1" applyBorder="1" applyAlignment="1">
      <alignment horizontal="right"/>
    </xf>
    <xf numFmtId="0" fontId="3" fillId="0" borderId="5" xfId="0" applyFont="1" applyBorder="1" applyAlignment="1">
      <alignment horizontal="left" wrapText="1"/>
    </xf>
    <xf numFmtId="9" fontId="2" fillId="7" borderId="0" xfId="4" applyFont="1" applyFill="1" applyBorder="1" applyAlignment="1">
      <alignment horizontal="center"/>
    </xf>
    <xf numFmtId="165" fontId="2" fillId="7" borderId="0" xfId="0" applyNumberFormat="1" applyFont="1" applyFill="1"/>
    <xf numFmtId="10" fontId="2" fillId="7" borderId="0" xfId="4" applyNumberFormat="1" applyFont="1" applyFill="1" applyBorder="1" applyAlignment="1">
      <alignment horizontal="center"/>
    </xf>
    <xf numFmtId="0" fontId="12" fillId="0" borderId="1" xfId="0" applyFont="1" applyBorder="1" applyAlignment="1">
      <alignment horizontal="left"/>
    </xf>
    <xf numFmtId="49" fontId="11" fillId="7" borderId="0" xfId="0" applyNumberFormat="1" applyFont="1" applyFill="1"/>
    <xf numFmtId="9" fontId="11" fillId="7" borderId="0" xfId="4" applyFont="1" applyFill="1"/>
    <xf numFmtId="166" fontId="37" fillId="0" borderId="0" xfId="1" applyNumberFormat="1" applyFont="1"/>
    <xf numFmtId="166" fontId="48" fillId="0" borderId="0" xfId="1" applyNumberFormat="1" applyFont="1" applyFill="1" applyBorder="1" applyAlignment="1" applyProtection="1">
      <alignment horizontal="right"/>
    </xf>
    <xf numFmtId="44" fontId="36" fillId="3" borderId="4" xfId="2" applyFont="1" applyFill="1" applyBorder="1"/>
    <xf numFmtId="44" fontId="11" fillId="0" borderId="0" xfId="2" applyFont="1"/>
    <xf numFmtId="44" fontId="11" fillId="0" borderId="3" xfId="0" applyNumberFormat="1" applyFont="1" applyBorder="1"/>
    <xf numFmtId="0" fontId="12" fillId="0" borderId="5" xfId="0" applyFont="1" applyBorder="1" applyAlignment="1">
      <alignment horizontal="center"/>
    </xf>
    <xf numFmtId="10" fontId="37" fillId="0" borderId="0" xfId="4" applyNumberFormat="1" applyFont="1" applyFill="1"/>
    <xf numFmtId="44" fontId="37" fillId="0" borderId="3" xfId="15" applyFont="1" applyBorder="1"/>
    <xf numFmtId="44" fontId="31" fillId="0" borderId="0" xfId="2" applyFont="1" applyBorder="1"/>
    <xf numFmtId="44" fontId="37" fillId="0" borderId="0" xfId="2" applyFont="1" applyBorder="1"/>
    <xf numFmtId="166" fontId="37" fillId="0" borderId="3" xfId="13" applyNumberFormat="1" applyFont="1" applyBorder="1"/>
    <xf numFmtId="166" fontId="31" fillId="0" borderId="0" xfId="13" applyNumberFormat="1" applyFont="1" applyBorder="1"/>
    <xf numFmtId="14" fontId="31" fillId="0" borderId="0" xfId="0" applyNumberFormat="1" applyFont="1" applyAlignment="1">
      <alignment horizontal="center"/>
    </xf>
    <xf numFmtId="14" fontId="11" fillId="9" borderId="1" xfId="0" applyNumberFormat="1" applyFont="1" applyFill="1" applyBorder="1" applyAlignment="1">
      <alignment horizontal="center"/>
    </xf>
    <xf numFmtId="9" fontId="49" fillId="0" borderId="0" xfId="4" applyFont="1" applyAlignment="1">
      <alignment horizontal="center" vertical="center"/>
    </xf>
    <xf numFmtId="9" fontId="49" fillId="0" borderId="0" xfId="4" applyFont="1" applyAlignment="1">
      <alignment horizontal="left" vertical="center"/>
    </xf>
    <xf numFmtId="0" fontId="11" fillId="7" borderId="5" xfId="0" applyFont="1" applyFill="1" applyBorder="1" applyAlignment="1">
      <alignment horizontal="center"/>
    </xf>
    <xf numFmtId="44" fontId="11" fillId="7" borderId="5" xfId="2" applyFont="1" applyFill="1" applyBorder="1" applyAlignment="1"/>
    <xf numFmtId="44" fontId="14" fillId="0" borderId="0" xfId="2" applyFont="1" applyBorder="1" applyAlignment="1"/>
    <xf numFmtId="0" fontId="11" fillId="7" borderId="5" xfId="0" applyFont="1" applyFill="1" applyBorder="1"/>
    <xf numFmtId="44" fontId="23" fillId="0" borderId="0" xfId="2" applyFont="1" applyBorder="1" applyAlignment="1"/>
    <xf numFmtId="9" fontId="49" fillId="0" borderId="0" xfId="4" applyFont="1" applyAlignment="1">
      <alignment horizontal="center" vertical="top"/>
    </xf>
    <xf numFmtId="166" fontId="11" fillId="9" borderId="0" xfId="13" applyNumberFormat="1" applyFont="1" applyFill="1"/>
    <xf numFmtId="14" fontId="11" fillId="7" borderId="1" xfId="0" applyNumberFormat="1" applyFont="1" applyFill="1" applyBorder="1" applyAlignment="1">
      <alignment horizontal="left"/>
    </xf>
    <xf numFmtId="0" fontId="11" fillId="7" borderId="1" xfId="0" applyFont="1" applyFill="1" applyBorder="1" applyAlignment="1">
      <alignment horizontal="left"/>
    </xf>
    <xf numFmtId="0" fontId="4" fillId="5" borderId="8" xfId="0" applyFont="1" applyFill="1" applyBorder="1"/>
    <xf numFmtId="0" fontId="4" fillId="5" borderId="16" xfId="0" applyFont="1" applyFill="1" applyBorder="1"/>
    <xf numFmtId="0" fontId="4" fillId="5" borderId="17" xfId="0" applyFont="1" applyFill="1" applyBorder="1"/>
    <xf numFmtId="0" fontId="2" fillId="7" borderId="7"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7" borderId="6" xfId="0" applyFont="1" applyFill="1" applyBorder="1" applyAlignment="1">
      <alignment horizontal="left" vertical="top" wrapText="1"/>
    </xf>
    <xf numFmtId="0" fontId="12" fillId="0" borderId="0" xfId="0" applyFont="1" applyAlignment="1">
      <alignment horizontal="right"/>
    </xf>
    <xf numFmtId="0" fontId="12" fillId="0" borderId="13" xfId="0" applyFont="1" applyBorder="1" applyAlignment="1">
      <alignment horizontal="right"/>
    </xf>
    <xf numFmtId="0" fontId="16" fillId="7" borderId="10"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7" borderId="11" xfId="0" applyFont="1" applyFill="1" applyBorder="1" applyAlignment="1">
      <alignment horizontal="left" vertical="top" wrapText="1"/>
    </xf>
    <xf numFmtId="0" fontId="16" fillId="7" borderId="12"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13" xfId="0" applyFont="1" applyFill="1" applyBorder="1" applyAlignment="1">
      <alignment horizontal="left" vertical="top" wrapText="1"/>
    </xf>
    <xf numFmtId="0" fontId="16" fillId="7" borderId="14" xfId="0" applyFont="1" applyFill="1" applyBorder="1" applyAlignment="1">
      <alignment horizontal="left" vertical="top" wrapText="1"/>
    </xf>
    <xf numFmtId="0" fontId="16" fillId="7" borderId="1" xfId="0" applyFont="1" applyFill="1" applyBorder="1" applyAlignment="1">
      <alignment horizontal="left" vertical="top" wrapText="1"/>
    </xf>
    <xf numFmtId="0" fontId="16" fillId="7" borderId="15" xfId="0" applyFont="1" applyFill="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1" fillId="7" borderId="1" xfId="0" applyFont="1" applyFill="1" applyBorder="1" applyAlignment="1">
      <alignment horizontal="left" wrapText="1"/>
    </xf>
    <xf numFmtId="0" fontId="4" fillId="5" borderId="10" xfId="0" applyFont="1" applyFill="1" applyBorder="1" applyAlignment="1">
      <alignment horizontal="center"/>
    </xf>
    <xf numFmtId="0" fontId="4" fillId="5" borderId="3" xfId="0" applyFont="1" applyFill="1" applyBorder="1" applyAlignment="1">
      <alignment horizontal="center"/>
    </xf>
    <xf numFmtId="0" fontId="4" fillId="5" borderId="11" xfId="0" applyFont="1" applyFill="1" applyBorder="1" applyAlignment="1">
      <alignment horizontal="center"/>
    </xf>
    <xf numFmtId="0" fontId="4" fillId="5" borderId="7" xfId="0" applyFont="1" applyFill="1" applyBorder="1" applyAlignment="1">
      <alignment horizontal="center"/>
    </xf>
    <xf numFmtId="0" fontId="4" fillId="5" borderId="2" xfId="0" applyFont="1" applyFill="1" applyBorder="1" applyAlignment="1">
      <alignment horizontal="center"/>
    </xf>
    <xf numFmtId="0" fontId="4" fillId="5" borderId="6" xfId="0" applyFont="1" applyFill="1" applyBorder="1" applyAlignment="1">
      <alignment horizontal="center"/>
    </xf>
    <xf numFmtId="0" fontId="4" fillId="2" borderId="0" xfId="0" applyFont="1" applyFill="1" applyAlignment="1">
      <alignment horizontal="left"/>
    </xf>
    <xf numFmtId="0" fontId="16" fillId="9" borderId="8" xfId="0" applyFont="1" applyFill="1" applyBorder="1" applyAlignment="1">
      <alignment horizontal="left" vertical="center" wrapText="1"/>
    </xf>
    <xf numFmtId="0" fontId="16" fillId="9" borderId="16" xfId="0" applyFont="1" applyFill="1" applyBorder="1" applyAlignment="1">
      <alignment horizontal="left" vertical="center" wrapText="1"/>
    </xf>
    <xf numFmtId="0" fontId="16" fillId="9" borderId="17" xfId="0" applyFont="1" applyFill="1" applyBorder="1" applyAlignment="1">
      <alignment horizontal="left" vertical="center" wrapText="1"/>
    </xf>
    <xf numFmtId="0" fontId="16" fillId="9" borderId="34" xfId="0" applyFont="1" applyFill="1" applyBorder="1" applyAlignment="1">
      <alignment horizontal="left" vertical="center" wrapText="1"/>
    </xf>
    <xf numFmtId="0" fontId="16" fillId="9" borderId="0" xfId="0" applyFont="1" applyFill="1" applyAlignment="1">
      <alignment horizontal="left" vertical="center" wrapText="1"/>
    </xf>
    <xf numFmtId="0" fontId="16" fillId="9" borderId="35"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18" xfId="0" applyFont="1" applyFill="1" applyBorder="1" applyAlignment="1">
      <alignment horizontal="left" vertical="center" wrapText="1"/>
    </xf>
    <xf numFmtId="0" fontId="16" fillId="9" borderId="19" xfId="0" applyFont="1" applyFill="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16" applyFont="1" applyAlignment="1">
      <alignment horizontal="right" wrapText="1"/>
    </xf>
    <xf numFmtId="9" fontId="5" fillId="7" borderId="0" xfId="4" applyFont="1" applyFill="1" applyBorder="1"/>
  </cellXfs>
  <cellStyles count="24">
    <cellStyle name="Comma" xfId="1" builtinId="3"/>
    <cellStyle name="Comma 2" xfId="5" xr:uid="{00000000-0005-0000-0000-000001000000}"/>
    <cellStyle name="Comma 2 2" xfId="12" xr:uid="{22E5F4E7-FA23-43A2-A2EE-045C3E048B21}"/>
    <cellStyle name="Comma 3" xfId="10" xr:uid="{7E9E54AD-1D2D-4715-A139-F3B00F765315}"/>
    <cellStyle name="Comma 3 2" xfId="13" xr:uid="{40852B72-20B8-4206-9F80-56A40778F97A}"/>
    <cellStyle name="Currency" xfId="2" builtinId="4"/>
    <cellStyle name="Currency 2" xfId="6" xr:uid="{00000000-0005-0000-0000-000003000000}"/>
    <cellStyle name="Currency 2 2" xfId="14" xr:uid="{E89FA418-D679-4100-9ECC-B7DE9891A785}"/>
    <cellStyle name="Currency 3" xfId="9" xr:uid="{94B01C25-0C05-4468-9AF0-CE70CDCD910A}"/>
    <cellStyle name="Currency 3 2" xfId="15" xr:uid="{F1A70F21-071D-4949-90DC-27A0917143CF}"/>
    <cellStyle name="Hyperlink" xfId="3" builtinId="8"/>
    <cellStyle name="Normal" xfId="0" builtinId="0"/>
    <cellStyle name="Normal 2" xfId="8" xr:uid="{00000000-0005-0000-0000-000006000000}"/>
    <cellStyle name="Normal 2 2" xfId="16" xr:uid="{19EBD4AA-3B0C-4672-8062-9BF73F28EBA6}"/>
    <cellStyle name="Normal 2 2 2" xfId="21" xr:uid="{86F50EA3-6910-448B-99DD-14663129DEEA}"/>
    <cellStyle name="Normal 3" xfId="11" xr:uid="{18514216-A1F0-4F56-8AE1-8C48DAEFDDA0}"/>
    <cellStyle name="Normal 4" xfId="19" xr:uid="{DF8F6B44-D224-426B-894B-5EFEC9C97132}"/>
    <cellStyle name="Normal 5" xfId="20" xr:uid="{CFBE844A-1709-4F5B-B386-3C8701310E66}"/>
    <cellStyle name="Percent" xfId="4" builtinId="5"/>
    <cellStyle name="Percent 2" xfId="7" xr:uid="{00000000-0005-0000-0000-000008000000}"/>
    <cellStyle name="Percent 2 2" xfId="17" xr:uid="{97B3B970-0292-44AD-9BE0-2F7F8B7654B2}"/>
    <cellStyle name="Percent 3" xfId="18" xr:uid="{768E0493-040A-47B8-B499-FAA92B71C0AD}"/>
    <cellStyle name="Percent 3 2" xfId="23" xr:uid="{71843667-97DD-47A5-AF89-EEBC483E9D94}"/>
    <cellStyle name="Percent 4" xfId="22" xr:uid="{1D9D111D-6A48-43A2-8FB7-CD4D2D3628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I50"/>
  <sheetViews>
    <sheetView showGridLines="0" zoomScaleNormal="100" workbookViewId="0">
      <selection activeCell="Y1" sqref="Y1"/>
    </sheetView>
  </sheetViews>
  <sheetFormatPr defaultColWidth="9.33203125" defaultRowHeight="12.75" x14ac:dyDescent="0.2"/>
  <cols>
    <col min="1" max="1" width="18.33203125" style="26" customWidth="1"/>
    <col min="2" max="2" width="4.6640625" style="26" customWidth="1"/>
    <col min="3" max="3" width="22.5" style="26" customWidth="1"/>
    <col min="4" max="4" width="9.33203125" style="26" customWidth="1"/>
    <col min="5" max="5" width="19.5" style="26" customWidth="1"/>
    <col min="6" max="6" width="1.5" style="26" customWidth="1"/>
    <col min="7" max="7" width="10.83203125" style="26" customWidth="1"/>
    <col min="8" max="8" width="12" style="26" customWidth="1"/>
    <col min="9" max="9" width="0.6640625" style="26" customWidth="1"/>
    <col min="10" max="10" width="20.83203125" style="26" customWidth="1"/>
    <col min="11" max="11" width="0.6640625" style="26" customWidth="1"/>
    <col min="12" max="12" width="15" style="26" customWidth="1"/>
    <col min="13" max="13" width="0.6640625" style="26" customWidth="1"/>
    <col min="14" max="14" width="13.6640625" style="26" bestFit="1" customWidth="1"/>
    <col min="15" max="15" width="0.6640625" style="26" customWidth="1"/>
    <col min="16" max="16" width="18.6640625" style="26" customWidth="1"/>
    <col min="17" max="17" width="0.6640625" style="26" customWidth="1"/>
    <col min="18" max="18" width="15.33203125" style="26" customWidth="1"/>
    <col min="19" max="19" width="0.6640625" style="26" customWidth="1"/>
    <col min="20" max="20" width="15.33203125" style="26" customWidth="1"/>
    <col min="21" max="21" width="0.6640625" style="26" customWidth="1"/>
    <col min="22" max="22" width="18.6640625" style="26" customWidth="1"/>
    <col min="23" max="23" width="0.6640625" style="26" customWidth="1"/>
    <col min="24" max="24" width="10.6640625" style="26" customWidth="1"/>
    <col min="25" max="25" width="12" style="26" customWidth="1"/>
    <col min="26" max="16384" width="9.33203125" style="26"/>
  </cols>
  <sheetData>
    <row r="1" spans="1:35" ht="21.75" customHeight="1" thickBot="1" x14ac:dyDescent="0.35">
      <c r="A1" s="52" t="s">
        <v>9</v>
      </c>
      <c r="B1" s="27"/>
      <c r="C1" s="27"/>
      <c r="D1" s="27"/>
      <c r="E1" s="27"/>
      <c r="F1" s="27"/>
      <c r="G1" s="27"/>
      <c r="H1" s="27"/>
      <c r="I1" s="27"/>
      <c r="J1" s="27"/>
      <c r="K1" s="27"/>
      <c r="L1" s="27"/>
      <c r="M1" s="27"/>
      <c r="N1" s="27"/>
      <c r="O1" s="51"/>
      <c r="P1" s="27"/>
      <c r="Q1" s="27"/>
      <c r="R1" s="27"/>
      <c r="S1" s="27"/>
      <c r="T1" s="226" t="s">
        <v>24</v>
      </c>
      <c r="X1" s="28" t="s">
        <v>138</v>
      </c>
    </row>
    <row r="2" spans="1:35" ht="13.5" customHeight="1" x14ac:dyDescent="0.3">
      <c r="A2" s="53"/>
      <c r="N2" s="28"/>
      <c r="O2" s="28"/>
      <c r="X2" s="135"/>
      <c r="Y2" s="136"/>
      <c r="Z2" s="136"/>
      <c r="AA2" s="136"/>
      <c r="AB2" s="136"/>
      <c r="AC2" s="136"/>
      <c r="AD2" s="136"/>
      <c r="AE2" s="136"/>
      <c r="AF2" s="136"/>
      <c r="AG2" s="136"/>
      <c r="AH2" s="136"/>
      <c r="AI2" s="137"/>
    </row>
    <row r="3" spans="1:35" ht="18.75" x14ac:dyDescent="0.3">
      <c r="A3" s="28"/>
      <c r="X3" s="138"/>
      <c r="Y3" s="128" t="s">
        <v>85</v>
      </c>
      <c r="AI3" s="139"/>
    </row>
    <row r="4" spans="1:35" ht="21" customHeight="1" x14ac:dyDescent="0.3">
      <c r="A4" s="28" t="s">
        <v>133</v>
      </c>
      <c r="C4" s="252">
        <v>44894</v>
      </c>
      <c r="D4" s="253"/>
      <c r="X4" s="138"/>
      <c r="Y4" s="140" t="s">
        <v>88</v>
      </c>
      <c r="Z4" s="141"/>
      <c r="AA4" s="141"/>
      <c r="AB4" s="141"/>
      <c r="AC4" s="141"/>
      <c r="AD4" s="141"/>
      <c r="AE4" s="141"/>
      <c r="AF4" s="141"/>
      <c r="AG4" s="141"/>
      <c r="AH4" s="141"/>
      <c r="AI4" s="139"/>
    </row>
    <row r="5" spans="1:35" ht="24.75" customHeight="1" x14ac:dyDescent="0.3">
      <c r="A5" s="28" t="s">
        <v>196</v>
      </c>
      <c r="C5" s="253" t="s">
        <v>134</v>
      </c>
      <c r="D5" s="253"/>
      <c r="E5" s="31"/>
      <c r="F5" s="31"/>
      <c r="X5" s="138"/>
      <c r="Y5" s="192" t="s">
        <v>145</v>
      </c>
      <c r="Z5" s="193"/>
      <c r="AA5" s="193"/>
      <c r="AB5" s="193"/>
      <c r="AC5" s="193"/>
      <c r="AD5" s="193"/>
      <c r="AE5" s="193"/>
      <c r="AF5" s="193"/>
      <c r="AG5" s="193"/>
      <c r="AH5" s="193"/>
      <c r="AI5" s="139"/>
    </row>
    <row r="6" spans="1:35" ht="24.75" customHeight="1" thickBot="1" x14ac:dyDescent="0.25">
      <c r="A6" s="28" t="s">
        <v>197</v>
      </c>
      <c r="C6" s="253" t="s">
        <v>135</v>
      </c>
      <c r="D6" s="253"/>
      <c r="E6" s="31"/>
      <c r="F6" s="31"/>
      <c r="X6" s="142"/>
      <c r="Y6" s="143"/>
      <c r="Z6" s="143"/>
      <c r="AA6" s="143"/>
      <c r="AB6" s="143"/>
      <c r="AC6" s="143"/>
      <c r="AD6" s="143"/>
      <c r="AE6" s="143"/>
      <c r="AF6" s="143"/>
      <c r="AG6" s="143"/>
      <c r="AH6" s="143"/>
      <c r="AI6" s="144"/>
    </row>
    <row r="7" spans="1:35" ht="24.75" customHeight="1" x14ac:dyDescent="0.2">
      <c r="A7" s="28" t="s">
        <v>10</v>
      </c>
      <c r="C7" s="253" t="s">
        <v>136</v>
      </c>
      <c r="D7" s="253"/>
      <c r="E7" s="253"/>
      <c r="F7" s="253"/>
      <c r="G7" s="253"/>
      <c r="H7" s="31"/>
      <c r="AB7"/>
      <c r="AC7"/>
      <c r="AD7"/>
      <c r="AE7"/>
      <c r="AF7"/>
      <c r="AG7"/>
    </row>
    <row r="8" spans="1:35" ht="24.75" customHeight="1" x14ac:dyDescent="0.2">
      <c r="A8" s="28" t="s">
        <v>11</v>
      </c>
      <c r="D8" s="253" t="s">
        <v>137</v>
      </c>
      <c r="E8" s="253"/>
      <c r="F8" s="253"/>
      <c r="G8" s="253"/>
      <c r="H8" s="253"/>
    </row>
    <row r="9" spans="1:35" ht="22.5" customHeight="1" x14ac:dyDescent="0.2">
      <c r="A9" s="28" t="s">
        <v>90</v>
      </c>
      <c r="D9" s="253" t="s">
        <v>139</v>
      </c>
      <c r="E9" s="253"/>
      <c r="F9" s="253"/>
      <c r="G9" s="253"/>
      <c r="H9" s="253"/>
      <c r="I9" s="253"/>
      <c r="J9" s="253"/>
      <c r="K9" s="253"/>
      <c r="L9" s="253"/>
    </row>
    <row r="10" spans="1:35" ht="41.45" customHeight="1" x14ac:dyDescent="0.2">
      <c r="A10" s="28" t="s">
        <v>89</v>
      </c>
      <c r="D10" s="275" t="s">
        <v>140</v>
      </c>
      <c r="E10" s="275"/>
      <c r="F10" s="275"/>
      <c r="G10" s="275"/>
      <c r="H10" s="275"/>
      <c r="I10" s="275"/>
      <c r="J10" s="275"/>
      <c r="K10" s="275"/>
      <c r="L10" s="275"/>
    </row>
    <row r="11" spans="1:35" x14ac:dyDescent="0.2">
      <c r="A11" s="28"/>
      <c r="D11" s="54"/>
      <c r="G11" s="54"/>
      <c r="H11" s="55"/>
      <c r="I11" s="54"/>
      <c r="J11" s="54"/>
      <c r="K11" s="54"/>
    </row>
    <row r="12" spans="1:35" ht="15" x14ac:dyDescent="0.25">
      <c r="A12" s="28" t="s">
        <v>143</v>
      </c>
      <c r="C12" s="241">
        <f ca="1">TODAY()</f>
        <v>45716</v>
      </c>
      <c r="D12" s="54"/>
      <c r="G12" s="54"/>
      <c r="H12" s="55"/>
      <c r="I12" s="54"/>
      <c r="J12" s="54"/>
      <c r="K12" s="54"/>
      <c r="V12" s="188"/>
    </row>
    <row r="13" spans="1:35" ht="15" x14ac:dyDescent="0.25">
      <c r="A13" s="28" t="s">
        <v>40</v>
      </c>
      <c r="C13" s="242">
        <f ca="1">C12</f>
        <v>45716</v>
      </c>
      <c r="D13" s="54"/>
      <c r="G13" s="54"/>
      <c r="H13" s="55"/>
      <c r="I13" s="54"/>
      <c r="J13" s="54"/>
      <c r="K13" s="54"/>
      <c r="V13" s="188"/>
    </row>
    <row r="14" spans="1:35" ht="22.5" customHeight="1" x14ac:dyDescent="0.2">
      <c r="A14" s="28" t="s">
        <v>26</v>
      </c>
      <c r="D14" s="145" t="s">
        <v>141</v>
      </c>
      <c r="E14" s="55" t="s">
        <v>180</v>
      </c>
      <c r="I14" s="54"/>
      <c r="J14" s="54"/>
      <c r="K14" s="54"/>
    </row>
    <row r="15" spans="1:35" ht="15.75" customHeight="1" thickBot="1" x14ac:dyDescent="0.25">
      <c r="A15" s="28"/>
      <c r="D15" s="29"/>
      <c r="E15" s="29"/>
      <c r="F15" s="29"/>
      <c r="G15" s="29"/>
      <c r="H15" s="29"/>
      <c r="I15" s="29"/>
      <c r="J15" s="29"/>
      <c r="K15" s="29"/>
    </row>
    <row r="16" spans="1:35" s="47" customFormat="1" ht="15" customHeight="1" x14ac:dyDescent="0.2">
      <c r="A16" s="48" t="s">
        <v>25</v>
      </c>
      <c r="B16" s="271" t="s">
        <v>73</v>
      </c>
      <c r="C16" s="271"/>
      <c r="D16" s="271"/>
      <c r="E16" s="271"/>
      <c r="F16" s="271"/>
      <c r="G16" s="271"/>
      <c r="H16" s="271"/>
      <c r="I16" s="271"/>
      <c r="J16" s="271"/>
      <c r="K16" s="271"/>
      <c r="L16" s="271"/>
      <c r="M16" s="271"/>
      <c r="N16" s="272"/>
      <c r="O16" s="85"/>
    </row>
    <row r="17" spans="1:32" s="47" customFormat="1" ht="30" customHeight="1" thickBot="1" x14ac:dyDescent="0.25">
      <c r="A17" s="49"/>
      <c r="B17" s="273"/>
      <c r="C17" s="273"/>
      <c r="D17" s="273"/>
      <c r="E17" s="273"/>
      <c r="F17" s="273"/>
      <c r="G17" s="273"/>
      <c r="H17" s="273"/>
      <c r="I17" s="273"/>
      <c r="J17" s="273"/>
      <c r="K17" s="273"/>
      <c r="L17" s="273"/>
      <c r="M17" s="273"/>
      <c r="N17" s="274"/>
      <c r="O17" s="85"/>
    </row>
    <row r="18" spans="1:32" x14ac:dyDescent="0.2">
      <c r="A18" s="28"/>
    </row>
    <row r="19" spans="1:32" ht="12.75" customHeight="1" x14ac:dyDescent="0.2">
      <c r="A19" s="28" t="s">
        <v>15</v>
      </c>
      <c r="B19" s="245" t="s">
        <v>22</v>
      </c>
      <c r="C19" s="26" t="s">
        <v>167</v>
      </c>
      <c r="D19" s="28" t="s">
        <v>70</v>
      </c>
      <c r="E19" s="246" t="s">
        <v>179</v>
      </c>
      <c r="F19" s="247"/>
      <c r="G19" s="26" t="s">
        <v>8</v>
      </c>
      <c r="H19" s="248" t="s">
        <v>98</v>
      </c>
      <c r="J19" s="260" t="s">
        <v>23</v>
      </c>
      <c r="K19" s="261"/>
      <c r="L19" s="262" t="s">
        <v>142</v>
      </c>
      <c r="M19" s="263"/>
      <c r="N19" s="264"/>
      <c r="O19" s="86"/>
    </row>
    <row r="20" spans="1:32" ht="6" customHeight="1" x14ac:dyDescent="0.2">
      <c r="A20" s="28"/>
      <c r="D20" s="28"/>
      <c r="L20" s="265"/>
      <c r="M20" s="266"/>
      <c r="N20" s="267"/>
      <c r="O20" s="86"/>
    </row>
    <row r="21" spans="1:32" x14ac:dyDescent="0.2">
      <c r="A21" s="28"/>
      <c r="B21" s="245" t="s">
        <v>22</v>
      </c>
      <c r="C21" s="26" t="s">
        <v>168</v>
      </c>
      <c r="D21" s="28" t="s">
        <v>70</v>
      </c>
      <c r="E21" s="246" t="s">
        <v>57</v>
      </c>
      <c r="F21" s="249"/>
      <c r="G21" s="26" t="s">
        <v>8</v>
      </c>
      <c r="H21" s="248" t="s">
        <v>98</v>
      </c>
      <c r="L21" s="265"/>
      <c r="M21" s="266"/>
      <c r="N21" s="267"/>
      <c r="O21" s="86"/>
    </row>
    <row r="22" spans="1:32" ht="6" customHeight="1" x14ac:dyDescent="0.2">
      <c r="A22" s="28"/>
      <c r="D22" s="28"/>
      <c r="L22" s="265"/>
      <c r="M22" s="266"/>
      <c r="N22" s="267"/>
      <c r="O22" s="86"/>
    </row>
    <row r="23" spans="1:32" ht="15" x14ac:dyDescent="0.25">
      <c r="A23" s="28"/>
      <c r="B23" s="245" t="s">
        <v>22</v>
      </c>
      <c r="C23" s="26" t="s">
        <v>169</v>
      </c>
      <c r="D23" s="28" t="s">
        <v>70</v>
      </c>
      <c r="E23" s="246" t="s">
        <v>57</v>
      </c>
      <c r="F23" s="249"/>
      <c r="G23" s="26" t="s">
        <v>8</v>
      </c>
      <c r="H23" s="248" t="s">
        <v>98</v>
      </c>
      <c r="L23" s="268"/>
      <c r="M23" s="269"/>
      <c r="N23" s="270"/>
      <c r="O23" s="86"/>
      <c r="X23" s="173"/>
      <c r="Y23" s="173"/>
      <c r="Z23" s="173"/>
      <c r="AA23" s="173"/>
      <c r="AB23" s="173"/>
      <c r="AC23" s="173"/>
      <c r="AD23" s="173"/>
      <c r="AE23" s="173"/>
      <c r="AF23" s="178"/>
    </row>
    <row r="25" spans="1:32" x14ac:dyDescent="0.2">
      <c r="C25" s="41"/>
      <c r="D25" s="41"/>
      <c r="E25" s="41"/>
      <c r="F25" s="41"/>
      <c r="G25" s="41"/>
      <c r="H25" s="41"/>
      <c r="I25" s="41"/>
      <c r="J25" s="41"/>
      <c r="K25" s="41"/>
      <c r="L25" s="41"/>
      <c r="M25" s="41"/>
      <c r="N25" s="42"/>
      <c r="O25" s="42"/>
      <c r="P25" s="41"/>
      <c r="Q25" s="41"/>
      <c r="R25" s="41"/>
    </row>
    <row r="26" spans="1:32" ht="15.75" x14ac:dyDescent="0.25">
      <c r="A26" s="46" t="s">
        <v>13</v>
      </c>
      <c r="B26" s="27"/>
      <c r="C26" s="43"/>
      <c r="D26" s="43"/>
      <c r="E26" s="43"/>
      <c r="F26" s="43"/>
      <c r="G26" s="43"/>
      <c r="H26" s="43"/>
      <c r="I26" s="43"/>
      <c r="J26" s="43"/>
      <c r="K26" s="43"/>
      <c r="L26" s="43"/>
      <c r="M26" s="43"/>
      <c r="N26" s="43"/>
      <c r="O26" s="87"/>
      <c r="Q26" s="41"/>
      <c r="R26" s="41"/>
    </row>
    <row r="27" spans="1:32" ht="13.5" thickBot="1" x14ac:dyDescent="0.25">
      <c r="B27" s="41"/>
      <c r="C27" s="41"/>
      <c r="D27" s="41"/>
      <c r="E27" s="41"/>
      <c r="F27" s="41"/>
      <c r="G27" s="41"/>
      <c r="H27" s="41"/>
      <c r="I27" s="41"/>
      <c r="J27" s="41"/>
      <c r="K27" s="41"/>
      <c r="L27" s="44"/>
      <c r="M27" s="44"/>
      <c r="N27" s="41"/>
      <c r="O27" s="41"/>
      <c r="Q27" s="41"/>
      <c r="R27" s="41"/>
    </row>
    <row r="28" spans="1:32" ht="45.75" x14ac:dyDescent="0.25">
      <c r="A28" s="197" t="s">
        <v>106</v>
      </c>
      <c r="B28" s="176"/>
      <c r="C28" s="176"/>
      <c r="D28" s="176"/>
      <c r="E28" s="176"/>
      <c r="F28" s="84"/>
      <c r="G28" s="45" t="s">
        <v>105</v>
      </c>
      <c r="H28" s="45" t="s">
        <v>156</v>
      </c>
      <c r="I28" s="41"/>
      <c r="J28" s="45" t="s">
        <v>153</v>
      </c>
      <c r="K28" s="74"/>
      <c r="L28" s="45" t="s">
        <v>154</v>
      </c>
      <c r="M28" s="41"/>
      <c r="N28" s="45" t="s">
        <v>155</v>
      </c>
      <c r="P28" s="45" t="s">
        <v>157</v>
      </c>
      <c r="R28" s="45" t="s">
        <v>152</v>
      </c>
      <c r="T28" s="88" t="s">
        <v>58</v>
      </c>
    </row>
    <row r="29" spans="1:32" ht="15.75" customHeight="1" x14ac:dyDescent="0.2">
      <c r="A29" s="227" t="s">
        <v>107</v>
      </c>
      <c r="B29" s="141"/>
      <c r="C29" s="141"/>
      <c r="D29" s="141"/>
      <c r="E29" s="228"/>
      <c r="F29" s="191"/>
      <c r="G29" s="210">
        <v>12441</v>
      </c>
      <c r="H29" s="155">
        <f>+'.2 Direct &amp; Indirect Personnel'!G24</f>
        <v>2.7224499638292743</v>
      </c>
      <c r="I29" s="155"/>
      <c r="J29" s="106">
        <f>+'.2 Direct &amp; Indirect Personnel'!G154</f>
        <v>1.868184820231376</v>
      </c>
      <c r="K29" s="106"/>
      <c r="L29" s="106">
        <f>+'.3 Direct &amp; Indirect Costs'!D13</f>
        <v>2.5721405031749859E-2</v>
      </c>
      <c r="M29" s="105"/>
      <c r="N29" s="106">
        <f>+'.3 Direct &amp; Indirect Costs'!D101</f>
        <v>4.5012458805562254E-2</v>
      </c>
      <c r="O29" s="107"/>
      <c r="P29" s="106">
        <f>+'.4 Equipment Use Fee (Indirect)'!D19</f>
        <v>4.8227634434530986E-2</v>
      </c>
      <c r="R29" s="106">
        <f>-'.5 Lookback Analysis'!$I$46</f>
        <v>-0.6</v>
      </c>
      <c r="T29" s="146">
        <f t="shared" ref="T29:T36" si="0">ROUNDDOWN((SUM(H29:R29)),2)</f>
        <v>4.0999999999999996</v>
      </c>
    </row>
    <row r="30" spans="1:32" ht="15.75" customHeight="1" x14ac:dyDescent="0.2">
      <c r="A30" s="227" t="s">
        <v>113</v>
      </c>
      <c r="B30" s="141"/>
      <c r="C30" s="141"/>
      <c r="D30" s="141"/>
      <c r="E30" s="228"/>
      <c r="F30" s="191"/>
      <c r="G30" s="210">
        <v>7911</v>
      </c>
      <c r="H30" s="155">
        <f>'.2 Direct &amp; Indirect Personnel'!G37</f>
        <v>4.2813803564656805</v>
      </c>
      <c r="I30" s="155"/>
      <c r="J30" s="106">
        <f>+'.2 Direct &amp; Indirect Personnel'!G155</f>
        <v>1.8681848202313762</v>
      </c>
      <c r="K30" s="106"/>
      <c r="L30" s="106">
        <f>+'.3 Direct &amp; Indirect Costs'!D23</f>
        <v>4.0450006320313488E-2</v>
      </c>
      <c r="M30" s="105"/>
      <c r="N30" s="106">
        <f>+'.3 Direct &amp; Indirect Costs'!D112</f>
        <v>3.6657818227784099E-2</v>
      </c>
      <c r="O30" s="107"/>
      <c r="P30" s="106">
        <f>+'.4 Equipment Use Fee (Indirect)'!D29</f>
        <v>7.584376185058779E-2</v>
      </c>
      <c r="R30" s="106">
        <f>-'.5 Lookback Analysis'!$I$46</f>
        <v>-0.6</v>
      </c>
      <c r="T30" s="146">
        <f t="shared" si="0"/>
        <v>5.7</v>
      </c>
    </row>
    <row r="31" spans="1:32" ht="15.4" customHeight="1" x14ac:dyDescent="0.2">
      <c r="A31" s="227" t="s">
        <v>114</v>
      </c>
      <c r="B31" s="141"/>
      <c r="C31" s="141"/>
      <c r="D31" s="141"/>
      <c r="E31" s="228"/>
      <c r="F31" s="191"/>
      <c r="G31" s="210">
        <v>4786</v>
      </c>
      <c r="H31" s="155">
        <f>+'.2 Direct &amp; Indirect Personnel'!G50</f>
        <v>7.0768909318846633</v>
      </c>
      <c r="I31" s="155"/>
      <c r="J31" s="106">
        <f>+'.2 Direct &amp; Indirect Personnel'!G156</f>
        <v>1.868184820231376</v>
      </c>
      <c r="K31" s="106"/>
      <c r="L31" s="106">
        <f>+'.3 Direct &amp; Indirect Costs'!D33</f>
        <v>6.6861679899707482E-2</v>
      </c>
      <c r="M31" s="105"/>
      <c r="N31" s="106">
        <f>+'.3 Direct &amp; Indirect Costs'!D123</f>
        <v>4.3877977434183035E-2</v>
      </c>
      <c r="O31" s="107"/>
      <c r="P31" s="106">
        <f>+'.4 Equipment Use Fee (Indirect)'!D39</f>
        <v>0.12536564981195153</v>
      </c>
      <c r="R31" s="106">
        <f>-'.5 Lookback Analysis'!$I$46</f>
        <v>-0.6</v>
      </c>
      <c r="T31" s="146">
        <f t="shared" si="0"/>
        <v>8.58</v>
      </c>
    </row>
    <row r="32" spans="1:32" ht="15.75" customHeight="1" x14ac:dyDescent="0.2">
      <c r="A32" s="227" t="s">
        <v>115</v>
      </c>
      <c r="B32" s="141"/>
      <c r="C32" s="141"/>
      <c r="D32" s="141"/>
      <c r="E32" s="228"/>
      <c r="F32" s="191"/>
      <c r="G32" s="210">
        <v>1661</v>
      </c>
      <c r="H32" s="155">
        <f>+'.2 Direct &amp; Indirect Personnel'!G63</f>
        <v>20.391330523780855</v>
      </c>
      <c r="I32" s="155"/>
      <c r="J32" s="106">
        <f>+'.2 Direct &amp; Indirect Personnel'!G157</f>
        <v>1.8681848202313762</v>
      </c>
      <c r="K32" s="106"/>
      <c r="L32" s="106">
        <f>+'.3 Direct &amp; Indirect Costs'!D43</f>
        <v>0.19265502709211318</v>
      </c>
      <c r="M32" s="105"/>
      <c r="N32" s="106">
        <f>+'.3 Direct &amp; Indirect Costs'!D134</f>
        <v>0.12642986152919927</v>
      </c>
      <c r="O32" s="107"/>
      <c r="P32" s="106">
        <f>+'.4 Equipment Use Fee (Indirect)'!D49</f>
        <v>0.36122817579771221</v>
      </c>
      <c r="R32" s="106">
        <f>-'.5 Lookback Analysis'!$I$46</f>
        <v>-0.6</v>
      </c>
      <c r="T32" s="146">
        <f t="shared" si="0"/>
        <v>22.33</v>
      </c>
    </row>
    <row r="33" spans="1:24" ht="15.75" customHeight="1" x14ac:dyDescent="0.2">
      <c r="A33" s="227" t="s">
        <v>116</v>
      </c>
      <c r="B33" s="141"/>
      <c r="C33" s="141"/>
      <c r="D33" s="141"/>
      <c r="E33" s="228"/>
      <c r="F33" s="191"/>
      <c r="G33" s="210">
        <v>2400</v>
      </c>
      <c r="H33" s="155">
        <f>+'.2 Direct &amp; Indirect Personnel'!G76</f>
        <v>14.112500000000001</v>
      </c>
      <c r="I33" s="155"/>
      <c r="J33" s="106">
        <f>+'.2 Direct &amp; Indirect Personnel'!G158</f>
        <v>1.8681848202313764</v>
      </c>
      <c r="K33" s="106"/>
      <c r="L33" s="106">
        <f>+'.3 Direct &amp; Indirect Costs'!D53</f>
        <v>0.13333333333333333</v>
      </c>
      <c r="M33" s="105"/>
      <c r="N33" s="106">
        <f>+'.3 Direct &amp; Indirect Costs'!D145</f>
        <v>8.7499999999999994E-2</v>
      </c>
      <c r="O33" s="107"/>
      <c r="P33" s="106">
        <f>+'.4 Equipment Use Fee (Indirect)'!D59</f>
        <v>0.25</v>
      </c>
      <c r="R33" s="106">
        <f>-'.5 Lookback Analysis'!$I$46</f>
        <v>-0.6</v>
      </c>
      <c r="T33" s="146">
        <f t="shared" si="0"/>
        <v>15.85</v>
      </c>
    </row>
    <row r="34" spans="1:24" ht="15.75" customHeight="1" x14ac:dyDescent="0.2">
      <c r="A34" s="227" t="s">
        <v>117</v>
      </c>
      <c r="B34" s="141"/>
      <c r="C34" s="141"/>
      <c r="D34" s="141"/>
      <c r="E34" s="228"/>
      <c r="F34" s="191"/>
      <c r="G34" s="210">
        <v>410</v>
      </c>
      <c r="H34" s="155">
        <f>+'.2 Direct &amp; Indirect Personnel'!G89</f>
        <v>82.609756097560975</v>
      </c>
      <c r="I34" s="155"/>
      <c r="J34" s="106">
        <f>+'.2 Direct &amp; Indirect Personnel'!G159</f>
        <v>1.8681848202313764</v>
      </c>
      <c r="K34" s="106"/>
      <c r="L34" s="106">
        <f>+'.3 Direct &amp; Indirect Costs'!D63</f>
        <v>0.78048780487804881</v>
      </c>
      <c r="M34" s="105"/>
      <c r="N34" s="106">
        <f>+'.3 Direct &amp; Indirect Costs'!D156</f>
        <v>0.51219512195121952</v>
      </c>
      <c r="O34" s="107"/>
      <c r="P34" s="106">
        <f>+'.4 Equipment Use Fee (Indirect)'!D69</f>
        <v>1.4634146341463414</v>
      </c>
      <c r="R34" s="106">
        <f>-'.5 Lookback Analysis'!$I$46</f>
        <v>-0.6</v>
      </c>
      <c r="T34" s="146">
        <f t="shared" si="0"/>
        <v>86.63</v>
      </c>
    </row>
    <row r="35" spans="1:24" ht="15.75" customHeight="1" x14ac:dyDescent="0.2">
      <c r="A35" s="227" t="s">
        <v>118</v>
      </c>
      <c r="B35" s="141"/>
      <c r="C35" s="141"/>
      <c r="D35" s="141"/>
      <c r="E35" s="228"/>
      <c r="F35" s="191"/>
      <c r="G35" s="210">
        <v>85</v>
      </c>
      <c r="H35" s="155">
        <f>+'.2 Direct &amp; Indirect Personnel'!G102</f>
        <v>398.47058823529414</v>
      </c>
      <c r="I35" s="155"/>
      <c r="J35" s="106">
        <f>+'.2 Direct &amp; Indirect Personnel'!G160</f>
        <v>1.8681848202313762</v>
      </c>
      <c r="K35" s="106"/>
      <c r="L35" s="106">
        <f>+'.3 Direct &amp; Indirect Costs'!D73</f>
        <v>3.7647058823529411</v>
      </c>
      <c r="M35" s="105"/>
      <c r="N35" s="106">
        <f>+'.3 Direct &amp; Indirect Costs'!D167</f>
        <v>2.4705882352941178</v>
      </c>
      <c r="O35" s="107"/>
      <c r="P35" s="106">
        <f>+'.4 Equipment Use Fee (Indirect)'!D79</f>
        <v>7.0588235294117645</v>
      </c>
      <c r="R35" s="106">
        <f>-'.5 Lookback Analysis'!$I$46</f>
        <v>-0.6</v>
      </c>
      <c r="T35" s="146">
        <f t="shared" si="0"/>
        <v>413.03</v>
      </c>
    </row>
    <row r="36" spans="1:24" ht="15.75" customHeight="1" thickBot="1" x14ac:dyDescent="0.25">
      <c r="A36" s="227" t="s">
        <v>119</v>
      </c>
      <c r="B36" s="141"/>
      <c r="C36" s="141"/>
      <c r="D36" s="141"/>
      <c r="E36" s="228"/>
      <c r="F36" s="191"/>
      <c r="G36" s="211">
        <v>2375</v>
      </c>
      <c r="H36" s="155">
        <f>+'.2 Direct &amp; Indirect Personnel'!G115</f>
        <v>14.261052631578947</v>
      </c>
      <c r="I36" s="155"/>
      <c r="J36" s="106">
        <f>+'.2 Direct &amp; Indirect Personnel'!G161</f>
        <v>1.8681848202313762</v>
      </c>
      <c r="K36" s="106"/>
      <c r="L36" s="106">
        <f>+'.3 Direct &amp; Indirect Costs'!D83</f>
        <v>0.13473684210526315</v>
      </c>
      <c r="M36" s="105"/>
      <c r="N36" s="106">
        <f>+'.3 Direct &amp; Indirect Costs'!D178</f>
        <v>8.8421052631578942E-2</v>
      </c>
      <c r="O36" s="107"/>
      <c r="P36" s="106">
        <f>+'.4 Equipment Use Fee (Indirect)'!D89</f>
        <v>0.25263157894736843</v>
      </c>
      <c r="R36" s="106">
        <f>-'.5 Lookback Analysis'!$I$46</f>
        <v>-0.6</v>
      </c>
      <c r="T36" s="147">
        <f t="shared" si="0"/>
        <v>16</v>
      </c>
    </row>
    <row r="37" spans="1:24" x14ac:dyDescent="0.2">
      <c r="B37" s="41"/>
      <c r="C37" s="41"/>
      <c r="D37" s="41"/>
      <c r="E37" s="41"/>
      <c r="F37" s="41"/>
      <c r="G37" s="229">
        <f>SUM(G29:G36)</f>
        <v>32069</v>
      </c>
      <c r="H37" s="41"/>
      <c r="I37" s="41"/>
      <c r="J37" s="75"/>
      <c r="K37" s="75"/>
      <c r="L37" s="108"/>
      <c r="M37" s="41"/>
      <c r="P37" s="108"/>
      <c r="Q37" s="41"/>
      <c r="R37" s="41"/>
    </row>
    <row r="38" spans="1:24" x14ac:dyDescent="0.2">
      <c r="G38" s="243" t="s">
        <v>198</v>
      </c>
      <c r="H38" s="158"/>
      <c r="I38" s="158"/>
      <c r="J38" s="158"/>
      <c r="K38" s="158"/>
      <c r="L38" s="158"/>
      <c r="M38" s="158"/>
      <c r="N38" s="158"/>
      <c r="O38" s="158"/>
      <c r="P38" s="158"/>
      <c r="Q38" s="158"/>
      <c r="R38" s="158"/>
      <c r="S38" s="158"/>
      <c r="T38" s="158"/>
      <c r="U38" s="158"/>
      <c r="V38" s="158"/>
      <c r="W38" s="158"/>
    </row>
    <row r="39" spans="1:24" x14ac:dyDescent="0.2">
      <c r="V39" s="166"/>
    </row>
    <row r="40" spans="1:24" x14ac:dyDescent="0.2">
      <c r="V40" s="166"/>
      <c r="X40" s="166"/>
    </row>
    <row r="41" spans="1:24" x14ac:dyDescent="0.2">
      <c r="A41" s="28" t="s">
        <v>43</v>
      </c>
      <c r="V41" s="166"/>
      <c r="X41" s="166"/>
    </row>
    <row r="42" spans="1:24" x14ac:dyDescent="0.2">
      <c r="A42" s="28" t="s">
        <v>74</v>
      </c>
      <c r="H42" s="153"/>
      <c r="V42" s="166"/>
      <c r="X42" s="166"/>
    </row>
    <row r="43" spans="1:24" ht="13.5" thickBot="1" x14ac:dyDescent="0.25">
      <c r="H43" s="153"/>
      <c r="V43" s="166"/>
      <c r="X43" s="166"/>
    </row>
    <row r="44" spans="1:24" x14ac:dyDescent="0.2">
      <c r="A44" s="254" t="s">
        <v>146</v>
      </c>
      <c r="B44" s="255"/>
      <c r="C44" s="255"/>
      <c r="D44" s="255"/>
      <c r="E44" s="255"/>
      <c r="F44" s="255"/>
      <c r="G44" s="255"/>
      <c r="H44" s="255"/>
      <c r="I44" s="255"/>
      <c r="J44" s="255"/>
      <c r="K44" s="255"/>
      <c r="L44" s="255"/>
      <c r="M44" s="255"/>
      <c r="N44" s="256"/>
      <c r="V44" s="166"/>
      <c r="X44" s="166"/>
    </row>
    <row r="45" spans="1:24" x14ac:dyDescent="0.2">
      <c r="A45" s="257" t="s">
        <v>147</v>
      </c>
      <c r="B45" s="258"/>
      <c r="C45" s="258"/>
      <c r="D45" s="258"/>
      <c r="E45" s="258"/>
      <c r="F45" s="258"/>
      <c r="G45" s="258"/>
      <c r="H45" s="258"/>
      <c r="I45" s="258"/>
      <c r="J45" s="258"/>
      <c r="K45" s="258"/>
      <c r="L45" s="258"/>
      <c r="M45" s="258"/>
      <c r="N45" s="259"/>
      <c r="O45" s="244" t="s">
        <v>198</v>
      </c>
      <c r="V45" s="166"/>
      <c r="X45" s="166"/>
    </row>
    <row r="46" spans="1:24" x14ac:dyDescent="0.2">
      <c r="H46" s="153"/>
      <c r="V46" s="166"/>
      <c r="X46" s="166"/>
    </row>
    <row r="47" spans="1:24" x14ac:dyDescent="0.2">
      <c r="H47" s="153"/>
      <c r="X47" s="166"/>
    </row>
    <row r="48" spans="1:24" x14ac:dyDescent="0.2">
      <c r="H48" s="153"/>
    </row>
    <row r="49" spans="8:8" x14ac:dyDescent="0.2">
      <c r="H49" s="153"/>
    </row>
    <row r="50" spans="8:8" x14ac:dyDescent="0.2">
      <c r="H50" s="153"/>
    </row>
  </sheetData>
  <mergeCells count="12">
    <mergeCell ref="C4:D4"/>
    <mergeCell ref="A44:N44"/>
    <mergeCell ref="A45:N45"/>
    <mergeCell ref="J19:K19"/>
    <mergeCell ref="L19:N23"/>
    <mergeCell ref="B16:N17"/>
    <mergeCell ref="D10:L10"/>
    <mergeCell ref="C5:D5"/>
    <mergeCell ref="C6:D6"/>
    <mergeCell ref="C7:G7"/>
    <mergeCell ref="D8:H8"/>
    <mergeCell ref="D9:L9"/>
  </mergeCells>
  <phoneticPr fontId="2" type="noConversion"/>
  <pageMargins left="0.42" right="0.34" top="0.75" bottom="0.75" header="0.3" footer="0.3"/>
  <pageSetup scale="8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pageSetUpPr fitToPage="1"/>
  </sheetPr>
  <dimension ref="A1:H183"/>
  <sheetViews>
    <sheetView showGridLines="0" topLeftCell="A161" zoomScaleNormal="100" workbookViewId="0">
      <selection activeCell="O19" sqref="O19"/>
    </sheetView>
  </sheetViews>
  <sheetFormatPr defaultRowHeight="11.25" x14ac:dyDescent="0.2"/>
  <cols>
    <col min="1" max="1" width="25.6640625" customWidth="1"/>
    <col min="2" max="2" width="23" customWidth="1"/>
    <col min="3" max="3" width="13.6640625" style="4" customWidth="1"/>
    <col min="4" max="4" width="17.1640625" style="5" customWidth="1"/>
    <col min="5" max="5" width="13.33203125" style="3" customWidth="1"/>
    <col min="6" max="6" width="15.33203125" customWidth="1"/>
    <col min="7" max="7" width="15" customWidth="1"/>
    <col min="8" max="8" width="15.6640625" customWidth="1"/>
  </cols>
  <sheetData>
    <row r="1" spans="1:8" ht="12.75" x14ac:dyDescent="0.2">
      <c r="A1" s="35" t="s">
        <v>60</v>
      </c>
      <c r="B1" s="32"/>
      <c r="C1" s="89"/>
      <c r="D1" s="71"/>
      <c r="E1" s="90"/>
      <c r="F1" s="32"/>
      <c r="G1" s="32"/>
      <c r="H1" s="19" t="s">
        <v>20</v>
      </c>
    </row>
    <row r="2" spans="1:8" ht="12" x14ac:dyDescent="0.2">
      <c r="A2" s="18"/>
    </row>
    <row r="3" spans="1:8" ht="12.75" x14ac:dyDescent="0.2">
      <c r="A3" s="6" t="s">
        <v>1</v>
      </c>
      <c r="B3" s="7"/>
      <c r="C3" s="8"/>
      <c r="D3" s="9"/>
      <c r="E3" s="10"/>
      <c r="F3" s="7"/>
      <c r="G3" s="7"/>
    </row>
    <row r="4" spans="1:8" s="11" customFormat="1" x14ac:dyDescent="0.2">
      <c r="A4" s="11" t="s">
        <v>7</v>
      </c>
      <c r="C4" s="12"/>
      <c r="D4" s="13"/>
      <c r="E4" s="14"/>
    </row>
    <row r="5" spans="1:8" s="11" customFormat="1" x14ac:dyDescent="0.2">
      <c r="A5" s="11" t="s">
        <v>44</v>
      </c>
      <c r="C5" s="12"/>
      <c r="D5" s="13"/>
      <c r="E5" s="14"/>
    </row>
    <row r="6" spans="1:8" s="11" customFormat="1" x14ac:dyDescent="0.2">
      <c r="A6" s="11" t="s">
        <v>45</v>
      </c>
      <c r="C6" s="12"/>
      <c r="D6" s="13"/>
      <c r="E6" s="14"/>
    </row>
    <row r="7" spans="1:8" s="93" customFormat="1" x14ac:dyDescent="0.2">
      <c r="A7" s="93" t="s">
        <v>62</v>
      </c>
      <c r="C7" s="94"/>
      <c r="D7" s="95"/>
      <c r="E7" s="96"/>
    </row>
    <row r="8" spans="1:8" s="93" customFormat="1" x14ac:dyDescent="0.2">
      <c r="A8" s="97" t="s">
        <v>63</v>
      </c>
      <c r="C8" s="94"/>
      <c r="D8" s="95"/>
      <c r="E8" s="96"/>
    </row>
    <row r="9" spans="1:8" s="93" customFormat="1" x14ac:dyDescent="0.2">
      <c r="A9" s="97" t="s">
        <v>64</v>
      </c>
      <c r="C9" s="94"/>
      <c r="D9" s="95"/>
      <c r="E9" s="96"/>
    </row>
    <row r="10" spans="1:8" s="93" customFormat="1" x14ac:dyDescent="0.2">
      <c r="A10" s="97" t="s">
        <v>71</v>
      </c>
      <c r="C10" s="94"/>
      <c r="D10" s="95"/>
      <c r="E10" s="96"/>
    </row>
    <row r="11" spans="1:8" ht="12.75" x14ac:dyDescent="0.2">
      <c r="A11" s="50"/>
    </row>
    <row r="12" spans="1:8" ht="15.75" customHeight="1" x14ac:dyDescent="0.2">
      <c r="B12" s="64"/>
      <c r="C12" s="12"/>
      <c r="D12" s="69"/>
      <c r="E12" s="68"/>
      <c r="G12" s="73"/>
    </row>
    <row r="13" spans="1:8" s="1" customFormat="1" ht="36" customHeight="1" x14ac:dyDescent="0.2">
      <c r="A13" s="36" t="s">
        <v>5</v>
      </c>
      <c r="B13" s="38" t="s">
        <v>46</v>
      </c>
      <c r="C13" s="37" t="s">
        <v>67</v>
      </c>
      <c r="D13" s="37" t="s">
        <v>65</v>
      </c>
      <c r="E13" s="39" t="s">
        <v>42</v>
      </c>
      <c r="F13" s="38" t="s">
        <v>0</v>
      </c>
      <c r="G13" s="38" t="s">
        <v>69</v>
      </c>
    </row>
    <row r="14" spans="1:8" s="1" customFormat="1" ht="15.75" customHeight="1" x14ac:dyDescent="0.2">
      <c r="A14" s="77"/>
      <c r="B14" s="78"/>
      <c r="C14" s="79" t="s">
        <v>52</v>
      </c>
      <c r="D14" s="214" t="str">
        <f>'.1 Cover'!A29</f>
        <v>Test #1</v>
      </c>
      <c r="E14" s="214"/>
      <c r="F14" s="214"/>
      <c r="G14" s="78"/>
    </row>
    <row r="15" spans="1:8" x14ac:dyDescent="0.2">
      <c r="A15" s="174" t="s">
        <v>108</v>
      </c>
      <c r="B15" s="174" t="s">
        <v>111</v>
      </c>
      <c r="C15" s="148">
        <v>0.18</v>
      </c>
      <c r="D15" s="149">
        <v>50000</v>
      </c>
      <c r="E15" s="150">
        <v>0.38</v>
      </c>
      <c r="F15" s="109">
        <f>(D15*(1+E15))</f>
        <v>69000</v>
      </c>
      <c r="G15" s="109">
        <f>C15*F15</f>
        <v>12420</v>
      </c>
    </row>
    <row r="16" spans="1:8" x14ac:dyDescent="0.2">
      <c r="A16" s="174" t="s">
        <v>109</v>
      </c>
      <c r="B16" s="174" t="s">
        <v>112</v>
      </c>
      <c r="C16" s="151">
        <v>0.15</v>
      </c>
      <c r="D16" s="152">
        <v>50000</v>
      </c>
      <c r="E16" s="150">
        <v>0.43</v>
      </c>
      <c r="F16" s="110">
        <f t="shared" ref="F16:F17" si="0">(D16*(1+E16))</f>
        <v>71500</v>
      </c>
      <c r="G16" s="111">
        <f>C16*F16</f>
        <v>10725</v>
      </c>
    </row>
    <row r="17" spans="1:8" x14ac:dyDescent="0.2">
      <c r="A17" s="174" t="s">
        <v>110</v>
      </c>
      <c r="B17" s="174" t="s">
        <v>112</v>
      </c>
      <c r="C17" s="151">
        <v>0.15</v>
      </c>
      <c r="D17" s="152">
        <v>50000</v>
      </c>
      <c r="E17" s="150">
        <v>0.43</v>
      </c>
      <c r="F17" s="110">
        <f t="shared" si="0"/>
        <v>71500</v>
      </c>
      <c r="G17" s="111">
        <f t="shared" ref="G17" si="1">C17*F17</f>
        <v>10725</v>
      </c>
    </row>
    <row r="18" spans="1:8" x14ac:dyDescent="0.2">
      <c r="A18" s="131"/>
      <c r="B18" s="131"/>
      <c r="C18" s="151"/>
      <c r="D18" s="152"/>
      <c r="E18" s="150"/>
      <c r="F18" s="110">
        <f t="shared" ref="F18" si="2">(D18*(1+E18))</f>
        <v>0</v>
      </c>
      <c r="G18" s="111">
        <f t="shared" ref="G18" si="3">C18*F18</f>
        <v>0</v>
      </c>
    </row>
    <row r="19" spans="1:8" x14ac:dyDescent="0.2">
      <c r="A19" s="11"/>
      <c r="B19" s="11"/>
      <c r="C19" s="250" t="s">
        <v>198</v>
      </c>
      <c r="D19" s="217"/>
      <c r="E19" s="218"/>
      <c r="F19" s="115"/>
      <c r="G19" s="219"/>
    </row>
    <row r="20" spans="1:8" x14ac:dyDescent="0.2">
      <c r="B20" s="64"/>
      <c r="C20" s="82" t="s">
        <v>53</v>
      </c>
      <c r="D20" s="113">
        <f>SUM(D15:D19)</f>
        <v>150000</v>
      </c>
      <c r="E20" s="23"/>
      <c r="F20" s="112">
        <f>SUM(F15:F19)</f>
        <v>212000</v>
      </c>
      <c r="G20" s="113">
        <f>SUM(G15:G19)</f>
        <v>33870</v>
      </c>
    </row>
    <row r="21" spans="1:8" x14ac:dyDescent="0.2">
      <c r="B21" s="64"/>
      <c r="C21" s="12"/>
      <c r="D21" s="68"/>
      <c r="E21" s="23"/>
      <c r="F21" s="69"/>
      <c r="G21" s="68"/>
    </row>
    <row r="22" spans="1:8" x14ac:dyDescent="0.2">
      <c r="B22" s="64"/>
      <c r="C22" s="12"/>
      <c r="D22" s="69"/>
      <c r="E22" s="72" t="s">
        <v>56</v>
      </c>
      <c r="G22" s="114">
        <f>G20</f>
        <v>33870</v>
      </c>
    </row>
    <row r="23" spans="1:8" x14ac:dyDescent="0.2">
      <c r="B23" s="64"/>
      <c r="C23" s="12"/>
      <c r="D23" s="69"/>
      <c r="E23" s="73" t="s">
        <v>103</v>
      </c>
      <c r="G23" s="115">
        <f>+'.1 Cover'!G29</f>
        <v>12441</v>
      </c>
    </row>
    <row r="24" spans="1:8" ht="15.75" customHeight="1" thickBot="1" x14ac:dyDescent="0.25">
      <c r="B24" s="64"/>
      <c r="C24" s="12"/>
      <c r="D24" s="69"/>
      <c r="E24" s="73" t="s">
        <v>49</v>
      </c>
      <c r="G24" s="116">
        <f>IFERROR(G22/G23,0)</f>
        <v>2.7224499638292743</v>
      </c>
      <c r="H24" s="19" t="s">
        <v>158</v>
      </c>
    </row>
    <row r="25" spans="1:8" ht="12" thickTop="1" x14ac:dyDescent="0.2">
      <c r="B25" s="64"/>
      <c r="C25" s="12"/>
      <c r="D25" s="69"/>
      <c r="E25" s="73"/>
      <c r="G25" s="161"/>
      <c r="H25" s="19"/>
    </row>
    <row r="26" spans="1:8" ht="45" x14ac:dyDescent="0.2">
      <c r="A26" s="36" t="s">
        <v>5</v>
      </c>
      <c r="B26" s="38" t="s">
        <v>46</v>
      </c>
      <c r="C26" s="37" t="s">
        <v>67</v>
      </c>
      <c r="D26" s="37" t="s">
        <v>65</v>
      </c>
      <c r="E26" s="39" t="s">
        <v>42</v>
      </c>
      <c r="F26" s="38" t="s">
        <v>0</v>
      </c>
      <c r="G26" s="38" t="s">
        <v>69</v>
      </c>
      <c r="H26" s="1"/>
    </row>
    <row r="27" spans="1:8" x14ac:dyDescent="0.2">
      <c r="A27" s="77"/>
      <c r="B27" s="78"/>
      <c r="C27" s="79" t="s">
        <v>52</v>
      </c>
      <c r="D27" s="214" t="str">
        <f>'.1 Cover'!A30</f>
        <v>Test #2</v>
      </c>
      <c r="E27" s="214"/>
      <c r="F27" s="214"/>
      <c r="G27" s="78"/>
      <c r="H27" s="1"/>
    </row>
    <row r="28" spans="1:8" x14ac:dyDescent="0.2">
      <c r="A28" s="174" t="s">
        <v>108</v>
      </c>
      <c r="B28" s="174" t="s">
        <v>111</v>
      </c>
      <c r="C28" s="148">
        <v>0.18</v>
      </c>
      <c r="D28" s="149">
        <v>50000</v>
      </c>
      <c r="E28" s="150">
        <v>0.38</v>
      </c>
      <c r="F28" s="109">
        <f>(D28*(1+E28))</f>
        <v>69000</v>
      </c>
      <c r="G28" s="109">
        <f>C28*F28</f>
        <v>12420</v>
      </c>
    </row>
    <row r="29" spans="1:8" x14ac:dyDescent="0.2">
      <c r="A29" s="174" t="s">
        <v>109</v>
      </c>
      <c r="B29" s="174" t="s">
        <v>112</v>
      </c>
      <c r="C29" s="151">
        <v>0.15</v>
      </c>
      <c r="D29" s="152">
        <v>50000</v>
      </c>
      <c r="E29" s="150">
        <v>0.43</v>
      </c>
      <c r="F29" s="110">
        <f t="shared" ref="F29:F30" si="4">(D29*(1+E29))</f>
        <v>71500</v>
      </c>
      <c r="G29" s="111">
        <f>C29*F29</f>
        <v>10725</v>
      </c>
    </row>
    <row r="30" spans="1:8" x14ac:dyDescent="0.2">
      <c r="A30" s="174" t="s">
        <v>110</v>
      </c>
      <c r="B30" s="174" t="s">
        <v>112</v>
      </c>
      <c r="C30" s="151">
        <v>0.15</v>
      </c>
      <c r="D30" s="152">
        <v>50000</v>
      </c>
      <c r="E30" s="150">
        <v>0.43</v>
      </c>
      <c r="F30" s="110">
        <f t="shared" si="4"/>
        <v>71500</v>
      </c>
      <c r="G30" s="111">
        <f t="shared" ref="G30" si="5">C30*F30</f>
        <v>10725</v>
      </c>
    </row>
    <row r="31" spans="1:8" x14ac:dyDescent="0.2">
      <c r="A31" s="131"/>
      <c r="B31" s="131"/>
      <c r="C31" s="151"/>
      <c r="D31" s="152"/>
      <c r="E31" s="150"/>
      <c r="F31" s="110">
        <f t="shared" ref="F31" si="6">(D31*(1+E31))</f>
        <v>0</v>
      </c>
      <c r="G31" s="111">
        <f t="shared" ref="G31" si="7">C31*F31</f>
        <v>0</v>
      </c>
    </row>
    <row r="32" spans="1:8" x14ac:dyDescent="0.2">
      <c r="A32" s="11"/>
      <c r="B32" s="11"/>
      <c r="C32" s="250" t="s">
        <v>198</v>
      </c>
      <c r="D32" s="217"/>
      <c r="E32" s="218"/>
      <c r="F32" s="115"/>
      <c r="G32" s="219"/>
    </row>
    <row r="33" spans="1:8" x14ac:dyDescent="0.2">
      <c r="B33" s="64"/>
      <c r="C33" s="82" t="s">
        <v>53</v>
      </c>
      <c r="D33" s="113">
        <f>SUM(D28:D32)</f>
        <v>150000</v>
      </c>
      <c r="E33" s="23"/>
      <c r="F33" s="112">
        <f>SUM(F28:F32)</f>
        <v>212000</v>
      </c>
      <c r="G33" s="113">
        <f>SUM(G28:G32)</f>
        <v>33870</v>
      </c>
    </row>
    <row r="34" spans="1:8" x14ac:dyDescent="0.2">
      <c r="B34" s="64"/>
      <c r="C34" s="12"/>
      <c r="D34" s="68"/>
      <c r="E34" s="23"/>
      <c r="F34" s="69"/>
      <c r="G34" s="68"/>
    </row>
    <row r="35" spans="1:8" x14ac:dyDescent="0.2">
      <c r="B35" s="64"/>
      <c r="C35" s="12"/>
      <c r="D35" s="69"/>
      <c r="E35" s="72" t="s">
        <v>56</v>
      </c>
      <c r="G35" s="114">
        <f>G33</f>
        <v>33870</v>
      </c>
    </row>
    <row r="36" spans="1:8" x14ac:dyDescent="0.2">
      <c r="B36" s="64"/>
      <c r="C36" s="12"/>
      <c r="D36" s="69"/>
      <c r="E36" s="73" t="s">
        <v>103</v>
      </c>
      <c r="G36" s="115">
        <f>+'.1 Cover'!G30</f>
        <v>7911</v>
      </c>
    </row>
    <row r="37" spans="1:8" ht="15.75" customHeight="1" thickBot="1" x14ac:dyDescent="0.25">
      <c r="B37" s="64"/>
      <c r="C37" s="12"/>
      <c r="D37" s="69"/>
      <c r="E37" s="73" t="s">
        <v>49</v>
      </c>
      <c r="G37" s="116">
        <f>IFERROR(G35/G36,0)</f>
        <v>4.2813803564656805</v>
      </c>
      <c r="H37" s="19" t="s">
        <v>158</v>
      </c>
    </row>
    <row r="38" spans="1:8" ht="12" thickTop="1" x14ac:dyDescent="0.2">
      <c r="B38" s="64"/>
      <c r="C38" s="12"/>
      <c r="D38" s="69"/>
      <c r="E38" s="68"/>
      <c r="G38" s="73"/>
    </row>
    <row r="39" spans="1:8" ht="45" x14ac:dyDescent="0.2">
      <c r="A39" s="36" t="s">
        <v>5</v>
      </c>
      <c r="B39" s="38" t="s">
        <v>46</v>
      </c>
      <c r="C39" s="37" t="s">
        <v>67</v>
      </c>
      <c r="D39" s="37" t="s">
        <v>65</v>
      </c>
      <c r="E39" s="39" t="s">
        <v>42</v>
      </c>
      <c r="F39" s="38" t="s">
        <v>0</v>
      </c>
      <c r="G39" s="38" t="s">
        <v>69</v>
      </c>
      <c r="H39" s="1"/>
    </row>
    <row r="40" spans="1:8" s="1" customFormat="1" x14ac:dyDescent="0.2">
      <c r="A40" s="77"/>
      <c r="B40" s="78"/>
      <c r="C40" s="79" t="s">
        <v>52</v>
      </c>
      <c r="D40" s="214" t="str">
        <f>'.1 Cover'!A31</f>
        <v>Test #3</v>
      </c>
      <c r="E40" s="214"/>
      <c r="F40" s="214"/>
      <c r="G40" s="78"/>
    </row>
    <row r="41" spans="1:8" x14ac:dyDescent="0.2">
      <c r="A41" s="174" t="s">
        <v>108</v>
      </c>
      <c r="B41" s="174" t="s">
        <v>111</v>
      </c>
      <c r="C41" s="148">
        <v>0.18</v>
      </c>
      <c r="D41" s="149">
        <v>50000</v>
      </c>
      <c r="E41" s="150">
        <v>0.38</v>
      </c>
      <c r="F41" s="109">
        <f>(D41*(1+E41))</f>
        <v>69000</v>
      </c>
      <c r="G41" s="109">
        <f>C41*F41</f>
        <v>12420</v>
      </c>
    </row>
    <row r="42" spans="1:8" x14ac:dyDescent="0.2">
      <c r="A42" s="174" t="s">
        <v>109</v>
      </c>
      <c r="B42" s="174" t="s">
        <v>112</v>
      </c>
      <c r="C42" s="151">
        <v>0.15</v>
      </c>
      <c r="D42" s="152">
        <v>50000</v>
      </c>
      <c r="E42" s="150">
        <v>0.43</v>
      </c>
      <c r="F42" s="110">
        <f t="shared" ref="F42:F43" si="8">(D42*(1+E42))</f>
        <v>71500</v>
      </c>
      <c r="G42" s="111">
        <f>C42*F42</f>
        <v>10725</v>
      </c>
    </row>
    <row r="43" spans="1:8" x14ac:dyDescent="0.2">
      <c r="A43" s="174" t="s">
        <v>110</v>
      </c>
      <c r="B43" s="174" t="s">
        <v>112</v>
      </c>
      <c r="C43" s="151">
        <v>0.15</v>
      </c>
      <c r="D43" s="152">
        <v>50000</v>
      </c>
      <c r="E43" s="150">
        <v>0.43</v>
      </c>
      <c r="F43" s="110">
        <f t="shared" si="8"/>
        <v>71500</v>
      </c>
      <c r="G43" s="111">
        <f t="shared" ref="G43" si="9">C43*F43</f>
        <v>10725</v>
      </c>
    </row>
    <row r="44" spans="1:8" x14ac:dyDescent="0.2">
      <c r="A44" s="131"/>
      <c r="B44" s="131"/>
      <c r="C44" s="151"/>
      <c r="D44" s="152"/>
      <c r="E44" s="150"/>
      <c r="F44" s="110">
        <f t="shared" ref="F44" si="10">(D44*(1+E44))</f>
        <v>0</v>
      </c>
      <c r="G44" s="111">
        <f t="shared" ref="G44" si="11">C44*F44</f>
        <v>0</v>
      </c>
    </row>
    <row r="45" spans="1:8" x14ac:dyDescent="0.2">
      <c r="A45" s="11"/>
      <c r="B45" s="11"/>
      <c r="C45" s="250" t="s">
        <v>198</v>
      </c>
      <c r="D45" s="217"/>
      <c r="E45" s="218"/>
      <c r="F45" s="115"/>
      <c r="G45" s="219"/>
    </row>
    <row r="46" spans="1:8" x14ac:dyDescent="0.2">
      <c r="B46" s="64"/>
      <c r="C46" s="82" t="s">
        <v>53</v>
      </c>
      <c r="D46" s="113">
        <f>SUM(D41:D45)</f>
        <v>150000</v>
      </c>
      <c r="E46" s="23"/>
      <c r="F46" s="112">
        <f>SUM(F41:F45)</f>
        <v>212000</v>
      </c>
      <c r="G46" s="113">
        <f>SUM(G41:G45)</f>
        <v>33870</v>
      </c>
    </row>
    <row r="47" spans="1:8" x14ac:dyDescent="0.2">
      <c r="B47" s="64"/>
      <c r="C47" s="12"/>
      <c r="D47" s="68"/>
      <c r="E47" s="23"/>
      <c r="F47" s="69"/>
      <c r="G47" s="68"/>
    </row>
    <row r="48" spans="1:8" x14ac:dyDescent="0.2">
      <c r="B48" s="64"/>
      <c r="C48" s="12"/>
      <c r="D48" s="69"/>
      <c r="E48" s="72" t="s">
        <v>56</v>
      </c>
      <c r="G48" s="114">
        <f>G46</f>
        <v>33870</v>
      </c>
    </row>
    <row r="49" spans="1:8" x14ac:dyDescent="0.2">
      <c r="B49" s="64"/>
      <c r="C49" s="12"/>
      <c r="D49" s="69"/>
      <c r="E49" s="73" t="s">
        <v>103</v>
      </c>
      <c r="G49" s="115">
        <f>+'.1 Cover'!G31</f>
        <v>4786</v>
      </c>
    </row>
    <row r="50" spans="1:8" ht="15.75" customHeight="1" thickBot="1" x14ac:dyDescent="0.25">
      <c r="B50" s="64"/>
      <c r="C50" s="12"/>
      <c r="D50" s="69"/>
      <c r="E50" s="73" t="s">
        <v>49</v>
      </c>
      <c r="G50" s="116">
        <f>IFERROR(G48/G49,0)</f>
        <v>7.0768909318846633</v>
      </c>
      <c r="H50" s="19" t="s">
        <v>158</v>
      </c>
    </row>
    <row r="51" spans="1:8" s="1" customFormat="1" ht="12" thickTop="1" x14ac:dyDescent="0.2">
      <c r="A51"/>
      <c r="B51" s="64"/>
      <c r="C51" s="12"/>
      <c r="D51" s="69"/>
      <c r="E51" s="68"/>
      <c r="F51"/>
      <c r="G51" s="73"/>
      <c r="H51"/>
    </row>
    <row r="52" spans="1:8" ht="45" x14ac:dyDescent="0.2">
      <c r="A52" s="36" t="s">
        <v>5</v>
      </c>
      <c r="B52" s="38" t="s">
        <v>46</v>
      </c>
      <c r="C52" s="37" t="s">
        <v>67</v>
      </c>
      <c r="D52" s="37" t="s">
        <v>65</v>
      </c>
      <c r="E52" s="39" t="s">
        <v>42</v>
      </c>
      <c r="F52" s="38" t="s">
        <v>0</v>
      </c>
      <c r="G52" s="38" t="s">
        <v>69</v>
      </c>
      <c r="H52" s="1"/>
    </row>
    <row r="53" spans="1:8" x14ac:dyDescent="0.2">
      <c r="A53" s="77"/>
      <c r="B53" s="78"/>
      <c r="C53" s="79" t="s">
        <v>52</v>
      </c>
      <c r="D53" s="213" t="str">
        <f>'.1 Cover'!A32</f>
        <v>Test #4</v>
      </c>
      <c r="E53" s="214"/>
      <c r="F53" s="214"/>
      <c r="G53" s="78"/>
      <c r="H53" s="1"/>
    </row>
    <row r="54" spans="1:8" x14ac:dyDescent="0.2">
      <c r="A54" s="174" t="s">
        <v>108</v>
      </c>
      <c r="B54" s="174" t="s">
        <v>111</v>
      </c>
      <c r="C54" s="148">
        <v>0.18</v>
      </c>
      <c r="D54" s="149">
        <v>50000</v>
      </c>
      <c r="E54" s="150">
        <v>0.38</v>
      </c>
      <c r="F54" s="109">
        <f>(D54*(1+E54))</f>
        <v>69000</v>
      </c>
      <c r="G54" s="109">
        <f>C54*F54</f>
        <v>12420</v>
      </c>
    </row>
    <row r="55" spans="1:8" x14ac:dyDescent="0.2">
      <c r="A55" s="174" t="s">
        <v>109</v>
      </c>
      <c r="B55" s="174" t="s">
        <v>112</v>
      </c>
      <c r="C55" s="151">
        <v>0.15</v>
      </c>
      <c r="D55" s="152">
        <v>50000</v>
      </c>
      <c r="E55" s="150">
        <v>0.43</v>
      </c>
      <c r="F55" s="110">
        <f t="shared" ref="F55:F56" si="12">(D55*(1+E55))</f>
        <v>71500</v>
      </c>
      <c r="G55" s="111">
        <f>C55*F55</f>
        <v>10725</v>
      </c>
    </row>
    <row r="56" spans="1:8" x14ac:dyDescent="0.2">
      <c r="A56" s="174" t="s">
        <v>110</v>
      </c>
      <c r="B56" s="174" t="s">
        <v>112</v>
      </c>
      <c r="C56" s="151">
        <v>0.15</v>
      </c>
      <c r="D56" s="152">
        <v>50000</v>
      </c>
      <c r="E56" s="150">
        <v>0.43</v>
      </c>
      <c r="F56" s="110">
        <f t="shared" si="12"/>
        <v>71500</v>
      </c>
      <c r="G56" s="111">
        <f t="shared" ref="G56" si="13">C56*F56</f>
        <v>10725</v>
      </c>
    </row>
    <row r="57" spans="1:8" x14ac:dyDescent="0.2">
      <c r="A57" s="131"/>
      <c r="B57" s="131"/>
      <c r="C57" s="151"/>
      <c r="D57" s="152"/>
      <c r="E57" s="150"/>
      <c r="F57" s="110">
        <f t="shared" ref="F57" si="14">(D57*(1+E57))</f>
        <v>0</v>
      </c>
      <c r="G57" s="111">
        <f t="shared" ref="G57" si="15">C57*F57</f>
        <v>0</v>
      </c>
    </row>
    <row r="58" spans="1:8" x14ac:dyDescent="0.2">
      <c r="A58" s="11"/>
      <c r="B58" s="11"/>
      <c r="C58" s="250" t="s">
        <v>198</v>
      </c>
      <c r="D58" s="217"/>
      <c r="E58" s="218"/>
      <c r="F58" s="115"/>
      <c r="G58" s="219"/>
    </row>
    <row r="59" spans="1:8" x14ac:dyDescent="0.2">
      <c r="B59" s="64"/>
      <c r="C59" s="82" t="s">
        <v>53</v>
      </c>
      <c r="D59" s="113">
        <f>SUM(D54:D58)</f>
        <v>150000</v>
      </c>
      <c r="E59" s="23"/>
      <c r="F59" s="112">
        <f>SUM(F54:F58)</f>
        <v>212000</v>
      </c>
      <c r="G59" s="113">
        <f>SUM(G54:G58)</f>
        <v>33870</v>
      </c>
    </row>
    <row r="60" spans="1:8" x14ac:dyDescent="0.2">
      <c r="B60" s="64"/>
      <c r="C60" s="12"/>
      <c r="D60" s="68"/>
      <c r="E60" s="23"/>
      <c r="F60" s="69"/>
      <c r="G60" s="68"/>
    </row>
    <row r="61" spans="1:8" x14ac:dyDescent="0.2">
      <c r="B61" s="64"/>
      <c r="C61" s="12"/>
      <c r="D61" s="69"/>
      <c r="E61" s="72" t="s">
        <v>56</v>
      </c>
      <c r="G61" s="114">
        <f>G59</f>
        <v>33870</v>
      </c>
    </row>
    <row r="62" spans="1:8" x14ac:dyDescent="0.2">
      <c r="B62" s="64"/>
      <c r="C62" s="12"/>
      <c r="D62" s="69"/>
      <c r="E62" s="73" t="s">
        <v>103</v>
      </c>
      <c r="G62" s="115">
        <f>+'.1 Cover'!G32</f>
        <v>1661</v>
      </c>
    </row>
    <row r="63" spans="1:8" ht="15.75" customHeight="1" thickBot="1" x14ac:dyDescent="0.25">
      <c r="B63" s="64"/>
      <c r="C63" s="12"/>
      <c r="D63" s="69"/>
      <c r="E63" s="73" t="s">
        <v>49</v>
      </c>
      <c r="G63" s="116">
        <f>IFERROR(G61/G62,0)</f>
        <v>20.391330523780855</v>
      </c>
      <c r="H63" s="19" t="s">
        <v>158</v>
      </c>
    </row>
    <row r="64" spans="1:8" ht="12" thickTop="1" x14ac:dyDescent="0.2">
      <c r="B64" s="64"/>
      <c r="C64" s="12"/>
      <c r="D64" s="69"/>
      <c r="E64" s="68"/>
      <c r="G64" s="73"/>
    </row>
    <row r="65" spans="1:8" s="1" customFormat="1" ht="45" x14ac:dyDescent="0.2">
      <c r="A65" s="36" t="s">
        <v>5</v>
      </c>
      <c r="B65" s="38" t="s">
        <v>46</v>
      </c>
      <c r="C65" s="37" t="s">
        <v>67</v>
      </c>
      <c r="D65" s="37" t="s">
        <v>65</v>
      </c>
      <c r="E65" s="39" t="s">
        <v>42</v>
      </c>
      <c r="F65" s="38" t="s">
        <v>0</v>
      </c>
      <c r="G65" s="38" t="s">
        <v>69</v>
      </c>
    </row>
    <row r="66" spans="1:8" x14ac:dyDescent="0.2">
      <c r="A66" s="77"/>
      <c r="B66" s="78"/>
      <c r="C66" s="79" t="s">
        <v>52</v>
      </c>
      <c r="D66" s="214" t="str">
        <f>'.1 Cover'!A33</f>
        <v>Test #5</v>
      </c>
      <c r="E66" s="214"/>
      <c r="F66" s="214"/>
      <c r="G66" s="78"/>
      <c r="H66" s="1"/>
    </row>
    <row r="67" spans="1:8" x14ac:dyDescent="0.2">
      <c r="A67" s="174" t="s">
        <v>108</v>
      </c>
      <c r="B67" s="174" t="s">
        <v>111</v>
      </c>
      <c r="C67" s="148">
        <v>0.18</v>
      </c>
      <c r="D67" s="149">
        <v>50000</v>
      </c>
      <c r="E67" s="150">
        <v>0.38</v>
      </c>
      <c r="F67" s="109">
        <f>(D67*(1+E67))</f>
        <v>69000</v>
      </c>
      <c r="G67" s="109">
        <f>C67*F67</f>
        <v>12420</v>
      </c>
    </row>
    <row r="68" spans="1:8" x14ac:dyDescent="0.2">
      <c r="A68" s="174" t="s">
        <v>109</v>
      </c>
      <c r="B68" s="174" t="s">
        <v>112</v>
      </c>
      <c r="C68" s="151">
        <v>0.15</v>
      </c>
      <c r="D68" s="152">
        <v>50000</v>
      </c>
      <c r="E68" s="150">
        <v>0.43</v>
      </c>
      <c r="F68" s="110">
        <f t="shared" ref="F68:F69" si="16">(D68*(1+E68))</f>
        <v>71500</v>
      </c>
      <c r="G68" s="111">
        <f>C68*F68</f>
        <v>10725</v>
      </c>
    </row>
    <row r="69" spans="1:8" x14ac:dyDescent="0.2">
      <c r="A69" s="174" t="s">
        <v>110</v>
      </c>
      <c r="B69" s="174" t="s">
        <v>112</v>
      </c>
      <c r="C69" s="151">
        <v>0.15</v>
      </c>
      <c r="D69" s="152">
        <v>50000</v>
      </c>
      <c r="E69" s="150">
        <v>0.43</v>
      </c>
      <c r="F69" s="110">
        <f t="shared" si="16"/>
        <v>71500</v>
      </c>
      <c r="G69" s="111">
        <f t="shared" ref="G69" si="17">C69*F69</f>
        <v>10725</v>
      </c>
    </row>
    <row r="70" spans="1:8" x14ac:dyDescent="0.2">
      <c r="A70" s="131"/>
      <c r="B70" s="131"/>
      <c r="C70" s="151"/>
      <c r="D70" s="152"/>
      <c r="E70" s="150"/>
      <c r="F70" s="110">
        <f t="shared" ref="F70" si="18">(D70*(1+E70))</f>
        <v>0</v>
      </c>
      <c r="G70" s="111">
        <f t="shared" ref="G70" si="19">C70*F70</f>
        <v>0</v>
      </c>
    </row>
    <row r="71" spans="1:8" x14ac:dyDescent="0.2">
      <c r="A71" s="11"/>
      <c r="B71" s="11"/>
      <c r="C71" s="250" t="s">
        <v>198</v>
      </c>
      <c r="D71" s="217"/>
      <c r="E71" s="218"/>
      <c r="F71" s="115"/>
      <c r="G71" s="219"/>
    </row>
    <row r="72" spans="1:8" x14ac:dyDescent="0.2">
      <c r="B72" s="64"/>
      <c r="C72" s="82" t="s">
        <v>53</v>
      </c>
      <c r="D72" s="113">
        <f>SUM(D67:D71)</f>
        <v>150000</v>
      </c>
      <c r="E72" s="23"/>
      <c r="F72" s="112">
        <f>SUM(F67:F71)</f>
        <v>212000</v>
      </c>
      <c r="G72" s="113">
        <f>SUM(G67:G71)</f>
        <v>33870</v>
      </c>
    </row>
    <row r="73" spans="1:8" x14ac:dyDescent="0.2">
      <c r="B73" s="64"/>
      <c r="C73" s="12"/>
      <c r="D73" s="68"/>
      <c r="E73" s="23"/>
      <c r="F73" s="69"/>
      <c r="G73" s="68"/>
    </row>
    <row r="74" spans="1:8" x14ac:dyDescent="0.2">
      <c r="B74" s="64"/>
      <c r="C74" s="12"/>
      <c r="D74" s="69"/>
      <c r="E74" s="72" t="s">
        <v>56</v>
      </c>
      <c r="G74" s="114">
        <f>G72</f>
        <v>33870</v>
      </c>
    </row>
    <row r="75" spans="1:8" x14ac:dyDescent="0.2">
      <c r="B75" s="64"/>
      <c r="C75" s="12"/>
      <c r="D75" s="69"/>
      <c r="E75" s="73" t="s">
        <v>103</v>
      </c>
      <c r="G75" s="115">
        <f>+'.1 Cover'!G33</f>
        <v>2400</v>
      </c>
    </row>
    <row r="76" spans="1:8" ht="15.75" customHeight="1" thickBot="1" x14ac:dyDescent="0.25">
      <c r="B76" s="64"/>
      <c r="C76" s="12"/>
      <c r="D76" s="69"/>
      <c r="E76" s="73" t="s">
        <v>49</v>
      </c>
      <c r="G76" s="116">
        <f>IFERROR(G74/G75,0)</f>
        <v>14.112500000000001</v>
      </c>
      <c r="H76" s="19" t="s">
        <v>158</v>
      </c>
    </row>
    <row r="77" spans="1:8" ht="12" thickTop="1" x14ac:dyDescent="0.2">
      <c r="B77" s="66"/>
      <c r="C77" s="12"/>
      <c r="D77" s="67"/>
      <c r="E77" s="11"/>
    </row>
    <row r="78" spans="1:8" s="93" customFormat="1" ht="45" x14ac:dyDescent="0.2">
      <c r="A78" s="36" t="s">
        <v>5</v>
      </c>
      <c r="B78" s="38" t="s">
        <v>46</v>
      </c>
      <c r="C78" s="37" t="s">
        <v>67</v>
      </c>
      <c r="D78" s="37" t="s">
        <v>65</v>
      </c>
      <c r="E78" s="39" t="s">
        <v>42</v>
      </c>
      <c r="F78" s="38" t="s">
        <v>0</v>
      </c>
      <c r="G78" s="38" t="s">
        <v>69</v>
      </c>
      <c r="H78" s="1"/>
    </row>
    <row r="79" spans="1:8" s="93" customFormat="1" x14ac:dyDescent="0.2">
      <c r="A79" s="77"/>
      <c r="B79" s="78"/>
      <c r="C79" s="79" t="s">
        <v>52</v>
      </c>
      <c r="D79" s="213" t="str">
        <f>'.1 Cover'!A34</f>
        <v>Test #6</v>
      </c>
      <c r="E79" s="214"/>
      <c r="F79" s="214"/>
      <c r="G79" s="78"/>
      <c r="H79" s="1"/>
    </row>
    <row r="80" spans="1:8" s="93" customFormat="1" x14ac:dyDescent="0.2">
      <c r="A80" s="174" t="s">
        <v>108</v>
      </c>
      <c r="B80" s="174" t="s">
        <v>111</v>
      </c>
      <c r="C80" s="148">
        <v>0.18</v>
      </c>
      <c r="D80" s="149">
        <v>50000</v>
      </c>
      <c r="E80" s="150">
        <v>0.38</v>
      </c>
      <c r="F80" s="109">
        <f>(D80*(1+E80))</f>
        <v>69000</v>
      </c>
      <c r="G80" s="154">
        <f>C80*F80</f>
        <v>12420</v>
      </c>
      <c r="H80"/>
    </row>
    <row r="81" spans="1:8" s="1" customFormat="1" x14ac:dyDescent="0.2">
      <c r="A81" s="174" t="s">
        <v>109</v>
      </c>
      <c r="B81" s="174" t="s">
        <v>112</v>
      </c>
      <c r="C81" s="151">
        <v>0.15</v>
      </c>
      <c r="D81" s="152">
        <v>50000</v>
      </c>
      <c r="E81" s="150">
        <v>0.43</v>
      </c>
      <c r="F81" s="110">
        <f t="shared" ref="F81:F82" si="20">(D81*(1+E81))</f>
        <v>71500</v>
      </c>
      <c r="G81" s="162">
        <f>C81*F81</f>
        <v>10725</v>
      </c>
      <c r="H81"/>
    </row>
    <row r="82" spans="1:8" x14ac:dyDescent="0.2">
      <c r="A82" s="174" t="s">
        <v>110</v>
      </c>
      <c r="B82" s="174" t="s">
        <v>112</v>
      </c>
      <c r="C82" s="151">
        <v>0.15</v>
      </c>
      <c r="D82" s="152">
        <v>50000</v>
      </c>
      <c r="E82" s="150">
        <v>0.43</v>
      </c>
      <c r="F82" s="110">
        <f t="shared" si="20"/>
        <v>71500</v>
      </c>
      <c r="G82" s="162">
        <f t="shared" ref="G82" si="21">C82*F82</f>
        <v>10725</v>
      </c>
    </row>
    <row r="83" spans="1:8" x14ac:dyDescent="0.2">
      <c r="A83" s="131"/>
      <c r="B83" s="131"/>
      <c r="C83" s="151"/>
      <c r="D83" s="152"/>
      <c r="E83" s="150"/>
      <c r="F83" s="110">
        <f t="shared" ref="F83" si="22">(D83*(1+E83))</f>
        <v>0</v>
      </c>
      <c r="G83" s="162">
        <f t="shared" ref="G83" si="23">C83*F83</f>
        <v>0</v>
      </c>
    </row>
    <row r="84" spans="1:8" x14ac:dyDescent="0.2">
      <c r="A84" s="11"/>
      <c r="B84" s="11"/>
      <c r="C84" s="250" t="s">
        <v>198</v>
      </c>
      <c r="D84" s="217"/>
      <c r="E84" s="218"/>
      <c r="F84" s="115"/>
      <c r="G84" s="219"/>
    </row>
    <row r="85" spans="1:8" x14ac:dyDescent="0.2">
      <c r="B85" s="64"/>
      <c r="C85" s="82" t="s">
        <v>53</v>
      </c>
      <c r="D85" s="113">
        <f>SUM(D80:D84)</f>
        <v>150000</v>
      </c>
      <c r="E85" s="23"/>
      <c r="F85" s="112">
        <f>SUM(F80:F84)</f>
        <v>212000</v>
      </c>
      <c r="G85" s="113">
        <f>SUM(G80:G84)</f>
        <v>33870</v>
      </c>
    </row>
    <row r="86" spans="1:8" x14ac:dyDescent="0.2">
      <c r="B86" s="64"/>
      <c r="C86" s="12"/>
      <c r="D86" s="68"/>
      <c r="E86" s="23"/>
      <c r="F86" s="69"/>
      <c r="G86" s="68"/>
    </row>
    <row r="87" spans="1:8" x14ac:dyDescent="0.2">
      <c r="B87" s="64"/>
      <c r="C87" s="12"/>
      <c r="D87" s="69"/>
      <c r="E87" s="72" t="s">
        <v>56</v>
      </c>
      <c r="G87" s="114">
        <f>G85</f>
        <v>33870</v>
      </c>
    </row>
    <row r="88" spans="1:8" x14ac:dyDescent="0.2">
      <c r="B88" s="64"/>
      <c r="C88" s="12"/>
      <c r="D88" s="69"/>
      <c r="E88" s="73" t="s">
        <v>103</v>
      </c>
      <c r="G88" s="115">
        <f>+'.1 Cover'!G34</f>
        <v>410</v>
      </c>
    </row>
    <row r="89" spans="1:8" ht="15.75" customHeight="1" thickBot="1" x14ac:dyDescent="0.25">
      <c r="B89" s="64"/>
      <c r="C89" s="12"/>
      <c r="D89" s="69"/>
      <c r="E89" s="73" t="s">
        <v>49</v>
      </c>
      <c r="G89" s="116">
        <f>IFERROR(G87/G88,0)</f>
        <v>82.609756097560975</v>
      </c>
      <c r="H89" s="19" t="s">
        <v>158</v>
      </c>
    </row>
    <row r="90" spans="1:8" ht="12" thickTop="1" x14ac:dyDescent="0.2">
      <c r="B90" s="64"/>
      <c r="C90" s="12"/>
      <c r="D90" s="69"/>
      <c r="E90" s="73"/>
      <c r="G90" s="76"/>
    </row>
    <row r="91" spans="1:8" ht="50.45" customHeight="1" x14ac:dyDescent="0.2">
      <c r="A91" s="36" t="s">
        <v>5</v>
      </c>
      <c r="B91" s="38" t="s">
        <v>46</v>
      </c>
      <c r="C91" s="37" t="s">
        <v>67</v>
      </c>
      <c r="D91" s="37" t="s">
        <v>65</v>
      </c>
      <c r="E91" s="39" t="s">
        <v>42</v>
      </c>
      <c r="F91" s="38" t="s">
        <v>0</v>
      </c>
      <c r="G91" s="38" t="s">
        <v>69</v>
      </c>
      <c r="H91" s="1"/>
    </row>
    <row r="92" spans="1:8" s="70" customFormat="1" x14ac:dyDescent="0.2">
      <c r="A92" s="77"/>
      <c r="B92" s="78"/>
      <c r="C92" s="79" t="s">
        <v>52</v>
      </c>
      <c r="D92" s="213" t="str">
        <f>'.1 Cover'!A35</f>
        <v>Test #7</v>
      </c>
      <c r="E92" s="214"/>
      <c r="F92" s="214"/>
      <c r="G92" s="78"/>
      <c r="H92" s="1"/>
    </row>
    <row r="93" spans="1:8" x14ac:dyDescent="0.2">
      <c r="A93" s="174" t="s">
        <v>108</v>
      </c>
      <c r="B93" s="174" t="s">
        <v>111</v>
      </c>
      <c r="C93" s="148">
        <v>0.18</v>
      </c>
      <c r="D93" s="149">
        <v>50000</v>
      </c>
      <c r="E93" s="150">
        <v>0.38</v>
      </c>
      <c r="F93" s="109">
        <f>(D93*(1+E93))</f>
        <v>69000</v>
      </c>
      <c r="G93" s="109">
        <f>C93*F93</f>
        <v>12420</v>
      </c>
    </row>
    <row r="94" spans="1:8" x14ac:dyDescent="0.2">
      <c r="A94" s="174" t="s">
        <v>109</v>
      </c>
      <c r="B94" s="174" t="s">
        <v>112</v>
      </c>
      <c r="C94" s="151">
        <v>0.15</v>
      </c>
      <c r="D94" s="152">
        <v>50000</v>
      </c>
      <c r="E94" s="150">
        <v>0.43</v>
      </c>
      <c r="F94" s="110">
        <f t="shared" ref="F94:F95" si="24">(D94*(1+E94))</f>
        <v>71500</v>
      </c>
      <c r="G94" s="111">
        <f>C94*F94</f>
        <v>10725</v>
      </c>
    </row>
    <row r="95" spans="1:8" x14ac:dyDescent="0.2">
      <c r="A95" s="174" t="s">
        <v>110</v>
      </c>
      <c r="B95" s="174" t="s">
        <v>112</v>
      </c>
      <c r="C95" s="151">
        <v>0.15</v>
      </c>
      <c r="D95" s="152">
        <v>50000</v>
      </c>
      <c r="E95" s="150">
        <v>0.43</v>
      </c>
      <c r="F95" s="110">
        <f t="shared" si="24"/>
        <v>71500</v>
      </c>
      <c r="G95" s="111">
        <f t="shared" ref="G95" si="25">C95*F95</f>
        <v>10725</v>
      </c>
    </row>
    <row r="96" spans="1:8" x14ac:dyDescent="0.2">
      <c r="A96" s="131"/>
      <c r="B96" s="131"/>
      <c r="C96" s="151"/>
      <c r="D96" s="152"/>
      <c r="E96" s="150"/>
      <c r="F96" s="110">
        <f t="shared" ref="F96" si="26">(D96*(1+E96))</f>
        <v>0</v>
      </c>
      <c r="G96" s="111">
        <f t="shared" ref="G96" si="27">C96*F96</f>
        <v>0</v>
      </c>
    </row>
    <row r="97" spans="1:8" x14ac:dyDescent="0.2">
      <c r="A97" s="11"/>
      <c r="B97" s="11"/>
      <c r="C97" s="250" t="s">
        <v>198</v>
      </c>
      <c r="D97" s="217"/>
      <c r="E97" s="218"/>
      <c r="F97" s="115"/>
      <c r="G97" s="219"/>
    </row>
    <row r="98" spans="1:8" x14ac:dyDescent="0.2">
      <c r="B98" s="64"/>
      <c r="C98" s="82" t="s">
        <v>53</v>
      </c>
      <c r="D98" s="113">
        <f>SUM(D93:D97)</f>
        <v>150000</v>
      </c>
      <c r="E98" s="23"/>
      <c r="F98" s="112">
        <f>SUM(F93:F97)</f>
        <v>212000</v>
      </c>
      <c r="G98" s="113">
        <f>SUM(G93:G97)</f>
        <v>33870</v>
      </c>
    </row>
    <row r="99" spans="1:8" x14ac:dyDescent="0.2">
      <c r="B99" s="64"/>
      <c r="C99" s="12"/>
      <c r="D99" s="68"/>
      <c r="E99" s="23"/>
      <c r="F99" s="69"/>
      <c r="G99" s="68"/>
    </row>
    <row r="100" spans="1:8" x14ac:dyDescent="0.2">
      <c r="B100" s="64"/>
      <c r="C100" s="12"/>
      <c r="D100" s="69"/>
      <c r="E100" s="72" t="s">
        <v>56</v>
      </c>
      <c r="G100" s="114">
        <f>G98</f>
        <v>33870</v>
      </c>
    </row>
    <row r="101" spans="1:8" x14ac:dyDescent="0.2">
      <c r="B101" s="64"/>
      <c r="C101" s="12"/>
      <c r="D101" s="69"/>
      <c r="E101" s="73" t="s">
        <v>103</v>
      </c>
      <c r="G101" s="115">
        <f>+'.1 Cover'!G35</f>
        <v>85</v>
      </c>
    </row>
    <row r="102" spans="1:8" ht="15.75" customHeight="1" thickBot="1" x14ac:dyDescent="0.25">
      <c r="B102" s="64"/>
      <c r="C102" s="12"/>
      <c r="D102" s="69"/>
      <c r="E102" s="73" t="s">
        <v>49</v>
      </c>
      <c r="G102" s="116">
        <f>IFERROR(G100/G101,0)</f>
        <v>398.47058823529414</v>
      </c>
      <c r="H102" s="19" t="s">
        <v>158</v>
      </c>
    </row>
    <row r="103" spans="1:8" ht="12" thickTop="1" x14ac:dyDescent="0.2">
      <c r="B103" s="11"/>
      <c r="C103" s="12"/>
      <c r="D103" s="65"/>
      <c r="E103" s="23"/>
      <c r="F103" s="63"/>
      <c r="G103" s="11"/>
    </row>
    <row r="104" spans="1:8" ht="45" x14ac:dyDescent="0.2">
      <c r="A104" s="36" t="s">
        <v>5</v>
      </c>
      <c r="B104" s="38" t="s">
        <v>46</v>
      </c>
      <c r="C104" s="37" t="s">
        <v>67</v>
      </c>
      <c r="D104" s="37" t="s">
        <v>65</v>
      </c>
      <c r="E104" s="39" t="s">
        <v>42</v>
      </c>
      <c r="F104" s="38" t="s">
        <v>0</v>
      </c>
      <c r="G104" s="38" t="s">
        <v>69</v>
      </c>
      <c r="H104" s="1"/>
    </row>
    <row r="105" spans="1:8" x14ac:dyDescent="0.2">
      <c r="A105" s="77"/>
      <c r="B105" s="78"/>
      <c r="C105" s="79" t="s">
        <v>52</v>
      </c>
      <c r="D105" s="213" t="str">
        <f>'.1 Cover'!A36</f>
        <v>Test #8</v>
      </c>
      <c r="E105" s="214"/>
      <c r="F105" s="214"/>
      <c r="G105" s="78"/>
      <c r="H105" s="1"/>
    </row>
    <row r="106" spans="1:8" x14ac:dyDescent="0.2">
      <c r="A106" s="174" t="s">
        <v>108</v>
      </c>
      <c r="B106" s="174" t="s">
        <v>111</v>
      </c>
      <c r="C106" s="148">
        <v>0.18</v>
      </c>
      <c r="D106" s="149">
        <v>50000</v>
      </c>
      <c r="E106" s="150">
        <v>0.38</v>
      </c>
      <c r="F106" s="109">
        <f>(D106*(1+E106))</f>
        <v>69000</v>
      </c>
      <c r="G106" s="109">
        <f>C106*F106</f>
        <v>12420</v>
      </c>
    </row>
    <row r="107" spans="1:8" x14ac:dyDescent="0.2">
      <c r="A107" s="174" t="s">
        <v>109</v>
      </c>
      <c r="B107" s="174" t="s">
        <v>112</v>
      </c>
      <c r="C107" s="151">
        <v>0.15</v>
      </c>
      <c r="D107" s="152">
        <v>50000</v>
      </c>
      <c r="E107" s="150">
        <v>0.43</v>
      </c>
      <c r="F107" s="110">
        <f t="shared" ref="F107:F108" si="28">(D107*(1+E107))</f>
        <v>71500</v>
      </c>
      <c r="G107" s="111">
        <f>C107*F107</f>
        <v>10725</v>
      </c>
    </row>
    <row r="108" spans="1:8" x14ac:dyDescent="0.2">
      <c r="A108" s="174" t="s">
        <v>110</v>
      </c>
      <c r="B108" s="174" t="s">
        <v>112</v>
      </c>
      <c r="C108" s="151">
        <v>0.15</v>
      </c>
      <c r="D108" s="152">
        <v>50000</v>
      </c>
      <c r="E108" s="150">
        <v>0.43</v>
      </c>
      <c r="F108" s="110">
        <f t="shared" si="28"/>
        <v>71500</v>
      </c>
      <c r="G108" s="111">
        <f t="shared" ref="G108" si="29">C108*F108</f>
        <v>10725</v>
      </c>
    </row>
    <row r="109" spans="1:8" x14ac:dyDescent="0.2">
      <c r="A109" s="131"/>
      <c r="B109" s="131"/>
      <c r="C109" s="151"/>
      <c r="D109" s="152"/>
      <c r="E109" s="150"/>
      <c r="F109" s="110">
        <f t="shared" ref="F109" si="30">(D109*(1+E109))</f>
        <v>0</v>
      </c>
      <c r="G109" s="111">
        <f t="shared" ref="G109" si="31">C109*F109</f>
        <v>0</v>
      </c>
    </row>
    <row r="110" spans="1:8" x14ac:dyDescent="0.2">
      <c r="A110" s="11"/>
      <c r="B110" s="11"/>
      <c r="C110" s="250" t="s">
        <v>198</v>
      </c>
      <c r="D110" s="217"/>
      <c r="E110" s="218"/>
      <c r="F110" s="115"/>
      <c r="G110" s="219"/>
    </row>
    <row r="111" spans="1:8" x14ac:dyDescent="0.2">
      <c r="B111" s="64"/>
      <c r="C111" s="82" t="s">
        <v>53</v>
      </c>
      <c r="D111" s="113">
        <f>SUM(D106:D110)</f>
        <v>150000</v>
      </c>
      <c r="E111" s="23"/>
      <c r="F111" s="112">
        <f>SUM(F106:F110)</f>
        <v>212000</v>
      </c>
      <c r="G111" s="113">
        <f>SUM(G106:G110)</f>
        <v>33870</v>
      </c>
    </row>
    <row r="112" spans="1:8" x14ac:dyDescent="0.2">
      <c r="B112" s="64"/>
      <c r="C112" s="12"/>
      <c r="D112" s="68"/>
      <c r="E112" s="23"/>
      <c r="F112" s="69"/>
      <c r="G112" s="68"/>
    </row>
    <row r="113" spans="1:8" x14ac:dyDescent="0.2">
      <c r="B113" s="64"/>
      <c r="C113" s="12"/>
      <c r="D113" s="69"/>
      <c r="E113" s="72" t="s">
        <v>56</v>
      </c>
      <c r="G113" s="114">
        <f>G111</f>
        <v>33870</v>
      </c>
    </row>
    <row r="114" spans="1:8" x14ac:dyDescent="0.2">
      <c r="B114" s="64"/>
      <c r="C114" s="12"/>
      <c r="D114" s="69"/>
      <c r="E114" s="73" t="s">
        <v>103</v>
      </c>
      <c r="G114" s="115">
        <f>+'.1 Cover'!G36</f>
        <v>2375</v>
      </c>
    </row>
    <row r="115" spans="1:8" ht="12" thickBot="1" x14ac:dyDescent="0.25">
      <c r="B115" s="64"/>
      <c r="C115" s="12"/>
      <c r="D115" s="69"/>
      <c r="E115" s="73" t="s">
        <v>49</v>
      </c>
      <c r="G115" s="116">
        <f>IFERROR(G113/G114,0)</f>
        <v>14.261052631578947</v>
      </c>
      <c r="H115" s="19" t="s">
        <v>158</v>
      </c>
    </row>
    <row r="116" spans="1:8" ht="12" thickTop="1" x14ac:dyDescent="0.2">
      <c r="B116" s="11"/>
      <c r="C116" s="12"/>
      <c r="D116" s="13"/>
      <c r="E116" s="23"/>
      <c r="F116" s="63"/>
      <c r="G116" s="11"/>
    </row>
    <row r="117" spans="1:8" ht="13.5" thickBot="1" x14ac:dyDescent="0.25">
      <c r="B117" s="11"/>
      <c r="C117" s="12"/>
      <c r="D117" s="13"/>
      <c r="E117" s="23"/>
      <c r="F117" s="81" t="s">
        <v>96</v>
      </c>
      <c r="G117" s="119">
        <f>+G33+G20+G46+G59+G72+G85+G98+G111</f>
        <v>270960</v>
      </c>
      <c r="H117" s="19" t="s">
        <v>181</v>
      </c>
    </row>
    <row r="118" spans="1:8" ht="14.25" thickTop="1" thickBot="1" x14ac:dyDescent="0.25">
      <c r="E118" s="24"/>
      <c r="F118" s="81" t="s">
        <v>55</v>
      </c>
      <c r="G118" s="119">
        <f>+G36+G23+G49+G62+G75+G88+G101+G114</f>
        <v>32069</v>
      </c>
    </row>
    <row r="119" spans="1:8" ht="13.5" thickTop="1" x14ac:dyDescent="0.2">
      <c r="E119" s="22"/>
      <c r="F119" s="24"/>
      <c r="G119" s="81"/>
    </row>
    <row r="120" spans="1:8" ht="12.75" x14ac:dyDescent="0.2">
      <c r="A120" s="276" t="s">
        <v>126</v>
      </c>
      <c r="B120" s="277"/>
      <c r="C120" s="277"/>
      <c r="D120" s="277"/>
      <c r="E120" s="277"/>
      <c r="F120" s="277"/>
      <c r="G120" s="277"/>
      <c r="H120" s="278"/>
    </row>
    <row r="121" spans="1:8" x14ac:dyDescent="0.2">
      <c r="A121" s="257" t="s">
        <v>125</v>
      </c>
      <c r="B121" s="258"/>
      <c r="C121" s="258"/>
      <c r="D121" s="258"/>
      <c r="E121" s="258"/>
      <c r="F121" s="258"/>
      <c r="G121" s="258"/>
      <c r="H121" s="259"/>
    </row>
    <row r="122" spans="1:8" x14ac:dyDescent="0.2">
      <c r="E122" s="21"/>
      <c r="F122" s="20"/>
      <c r="H122" s="93"/>
    </row>
    <row r="123" spans="1:8" x14ac:dyDescent="0.2">
      <c r="E123" s="21"/>
      <c r="F123" s="20"/>
      <c r="H123" s="93"/>
    </row>
    <row r="124" spans="1:8" x14ac:dyDescent="0.2">
      <c r="E124" s="21"/>
      <c r="F124" s="20"/>
      <c r="H124" s="93"/>
    </row>
    <row r="125" spans="1:8" x14ac:dyDescent="0.2">
      <c r="E125" s="21"/>
      <c r="F125" s="20"/>
      <c r="H125" s="93"/>
    </row>
    <row r="126" spans="1:8" ht="12.75" x14ac:dyDescent="0.2">
      <c r="A126" s="6" t="s">
        <v>12</v>
      </c>
      <c r="B126" s="7"/>
      <c r="C126" s="8"/>
      <c r="D126" s="9"/>
      <c r="E126" s="10"/>
      <c r="F126" s="7"/>
      <c r="G126" s="7"/>
      <c r="H126" s="93"/>
    </row>
    <row r="127" spans="1:8" x14ac:dyDescent="0.2">
      <c r="A127" s="11" t="s">
        <v>50</v>
      </c>
      <c r="B127" s="11"/>
      <c r="C127" s="12"/>
      <c r="D127" s="13"/>
      <c r="E127" s="14"/>
      <c r="F127" s="11"/>
      <c r="G127" s="11"/>
      <c r="H127" s="93"/>
    </row>
    <row r="128" spans="1:8" x14ac:dyDescent="0.2">
      <c r="A128" s="11" t="s">
        <v>51</v>
      </c>
      <c r="B128" s="11"/>
      <c r="C128" s="12"/>
      <c r="D128" s="13"/>
      <c r="E128" s="14"/>
      <c r="F128" s="11"/>
      <c r="G128" s="11"/>
      <c r="H128" s="93"/>
    </row>
    <row r="129" spans="1:8" x14ac:dyDescent="0.2">
      <c r="A129" s="93" t="s">
        <v>62</v>
      </c>
      <c r="B129" s="93"/>
      <c r="C129" s="94"/>
      <c r="D129" s="95"/>
      <c r="E129" s="96"/>
      <c r="F129" s="93"/>
      <c r="G129" s="93"/>
      <c r="H129" s="1"/>
    </row>
    <row r="130" spans="1:8" x14ac:dyDescent="0.2">
      <c r="A130" s="97" t="s">
        <v>63</v>
      </c>
      <c r="B130" s="93"/>
      <c r="C130" s="94"/>
      <c r="D130" s="95"/>
      <c r="E130" s="96"/>
      <c r="F130" s="93"/>
      <c r="G130" s="93"/>
    </row>
    <row r="131" spans="1:8" x14ac:dyDescent="0.2">
      <c r="A131" s="97" t="s">
        <v>64</v>
      </c>
      <c r="B131" s="93"/>
      <c r="C131" s="94"/>
      <c r="D131" s="95"/>
      <c r="E131" s="96"/>
      <c r="F131" s="93"/>
      <c r="G131" s="93"/>
    </row>
    <row r="132" spans="1:8" ht="15.75" customHeight="1" x14ac:dyDescent="0.2">
      <c r="A132" s="97" t="s">
        <v>71</v>
      </c>
      <c r="B132" s="93"/>
      <c r="C132" s="94"/>
      <c r="D132" s="95"/>
      <c r="E132" s="96"/>
      <c r="F132" s="93"/>
      <c r="G132" s="93"/>
    </row>
    <row r="133" spans="1:8" ht="15.75" customHeight="1" x14ac:dyDescent="0.2">
      <c r="A133" s="97"/>
      <c r="B133" s="93"/>
      <c r="C133" s="94"/>
      <c r="D133" s="95"/>
      <c r="E133" s="96"/>
      <c r="F133" s="93"/>
      <c r="G133" s="93"/>
    </row>
    <row r="134" spans="1:8" ht="15.75" customHeight="1" x14ac:dyDescent="0.2">
      <c r="A134" s="279" t="s">
        <v>159</v>
      </c>
      <c r="B134" s="280"/>
      <c r="C134" s="280"/>
      <c r="D134" s="280"/>
      <c r="E134" s="280"/>
      <c r="F134" s="280"/>
      <c r="G134" s="281"/>
    </row>
    <row r="135" spans="1:8" ht="45" x14ac:dyDescent="0.2">
      <c r="A135" s="36" t="s">
        <v>5</v>
      </c>
      <c r="B135" s="38" t="s">
        <v>46</v>
      </c>
      <c r="C135" s="37" t="s">
        <v>67</v>
      </c>
      <c r="D135" s="37" t="s">
        <v>48</v>
      </c>
      <c r="E135" s="39" t="s">
        <v>42</v>
      </c>
      <c r="F135" s="38" t="s">
        <v>0</v>
      </c>
      <c r="G135" s="38" t="s">
        <v>47</v>
      </c>
    </row>
    <row r="136" spans="1:8" x14ac:dyDescent="0.2">
      <c r="A136" s="174" t="s">
        <v>120</v>
      </c>
      <c r="B136" s="131" t="s">
        <v>92</v>
      </c>
      <c r="C136" s="151">
        <v>0.3</v>
      </c>
      <c r="D136" s="152">
        <v>50000</v>
      </c>
      <c r="E136" s="150">
        <v>0.39</v>
      </c>
      <c r="F136" s="110">
        <f t="shared" ref="F136" si="32">(D136*(1+E136))</f>
        <v>69500</v>
      </c>
      <c r="G136" s="111">
        <f t="shared" ref="G136" si="33">F136*C136</f>
        <v>20850</v>
      </c>
    </row>
    <row r="137" spans="1:8" x14ac:dyDescent="0.2">
      <c r="A137" s="174"/>
      <c r="B137" s="174"/>
      <c r="C137" s="151"/>
      <c r="D137" s="152"/>
      <c r="E137" s="150"/>
      <c r="F137" s="110"/>
      <c r="G137" s="111"/>
    </row>
    <row r="138" spans="1:8" x14ac:dyDescent="0.2">
      <c r="A138" s="174"/>
      <c r="B138" s="174"/>
      <c r="C138" s="151"/>
      <c r="D138" s="152"/>
      <c r="E138" s="150"/>
      <c r="F138" s="110"/>
      <c r="G138" s="111"/>
    </row>
    <row r="139" spans="1:8" x14ac:dyDescent="0.2">
      <c r="A139" s="216"/>
      <c r="B139" s="216"/>
      <c r="C139" s="250" t="s">
        <v>201</v>
      </c>
      <c r="D139" s="217"/>
      <c r="E139" s="218"/>
      <c r="F139" s="115"/>
      <c r="G139" s="219"/>
      <c r="H139" s="220"/>
    </row>
    <row r="140" spans="1:8" x14ac:dyDescent="0.2">
      <c r="A140" s="80"/>
      <c r="B140" s="34"/>
      <c r="C140" s="83" t="s">
        <v>54</v>
      </c>
      <c r="D140" s="113">
        <f>SUM(D136:D139)</f>
        <v>50000</v>
      </c>
      <c r="E140" s="23"/>
      <c r="F140" s="221">
        <f>SUM(F136:F139)</f>
        <v>69500</v>
      </c>
      <c r="G140" s="113">
        <f>SUM(G136:G139)</f>
        <v>20850</v>
      </c>
      <c r="H140" s="19"/>
    </row>
    <row r="141" spans="1:8" x14ac:dyDescent="0.2">
      <c r="A141" s="11"/>
      <c r="B141" s="30"/>
      <c r="D141" s="4"/>
      <c r="E141" s="5"/>
      <c r="G141" s="22"/>
    </row>
    <row r="142" spans="1:8" ht="15.75" customHeight="1" x14ac:dyDescent="0.2">
      <c r="A142" s="97"/>
      <c r="B142" s="93"/>
      <c r="C142" s="94"/>
      <c r="D142" s="95"/>
      <c r="E142" s="96"/>
      <c r="F142" s="93"/>
      <c r="G142" s="93"/>
    </row>
    <row r="143" spans="1:8" ht="15.75" customHeight="1" x14ac:dyDescent="0.2">
      <c r="A143" s="279" t="s">
        <v>160</v>
      </c>
      <c r="B143" s="280"/>
      <c r="C143" s="280"/>
      <c r="D143" s="280"/>
      <c r="E143" s="280"/>
      <c r="F143" s="280"/>
      <c r="G143" s="280"/>
      <c r="H143" s="281"/>
    </row>
    <row r="144" spans="1:8" ht="45" x14ac:dyDescent="0.2">
      <c r="A144" s="36" t="s">
        <v>161</v>
      </c>
      <c r="B144" s="222" t="s">
        <v>162</v>
      </c>
      <c r="C144" s="37" t="s">
        <v>67</v>
      </c>
      <c r="D144" s="37" t="s">
        <v>163</v>
      </c>
      <c r="E144" s="37" t="s">
        <v>164</v>
      </c>
      <c r="F144" s="39" t="s">
        <v>42</v>
      </c>
      <c r="G144" s="38" t="s">
        <v>165</v>
      </c>
      <c r="H144" s="38" t="s">
        <v>69</v>
      </c>
    </row>
    <row r="145" spans="1:8" x14ac:dyDescent="0.2">
      <c r="A145" s="174" t="s">
        <v>166</v>
      </c>
      <c r="B145" s="174" t="s">
        <v>91</v>
      </c>
      <c r="C145" s="223">
        <v>0.9</v>
      </c>
      <c r="D145" s="196">
        <v>1080</v>
      </c>
      <c r="E145" s="224">
        <v>22.45</v>
      </c>
      <c r="F145" s="225">
        <v>7.6499999999999999E-2</v>
      </c>
      <c r="G145" s="109">
        <f>D145*(E145*(1+F145))</f>
        <v>26100.819</v>
      </c>
      <c r="H145" s="154">
        <f>G145*C145</f>
        <v>23490.737099999998</v>
      </c>
    </row>
    <row r="146" spans="1:8" x14ac:dyDescent="0.2">
      <c r="A146" s="174" t="s">
        <v>128</v>
      </c>
      <c r="B146" s="174" t="s">
        <v>91</v>
      </c>
      <c r="C146" s="223">
        <v>0.9</v>
      </c>
      <c r="D146" s="196">
        <v>1080</v>
      </c>
      <c r="E146" s="224">
        <v>12</v>
      </c>
      <c r="F146" s="225">
        <v>0</v>
      </c>
      <c r="G146" s="109">
        <f>D146*(E146*(1+F146))</f>
        <v>12960</v>
      </c>
      <c r="H146" s="154">
        <f>G146*C146</f>
        <v>11664</v>
      </c>
    </row>
    <row r="147" spans="1:8" x14ac:dyDescent="0.2">
      <c r="A147" s="174"/>
      <c r="B147" s="174"/>
      <c r="C147" s="152"/>
      <c r="D147" s="196"/>
      <c r="E147" s="150"/>
      <c r="F147" s="225"/>
      <c r="G147" s="109"/>
      <c r="H147" s="154"/>
    </row>
    <row r="148" spans="1:8" x14ac:dyDescent="0.2">
      <c r="A148" s="216"/>
      <c r="B148" s="216"/>
      <c r="C148" s="250" t="s">
        <v>201</v>
      </c>
      <c r="D148" s="250" t="s">
        <v>200</v>
      </c>
      <c r="E148" s="218"/>
      <c r="F148" s="115"/>
      <c r="G148" s="219"/>
      <c r="H148" s="220"/>
    </row>
    <row r="149" spans="1:8" x14ac:dyDescent="0.2">
      <c r="A149" s="80"/>
      <c r="B149" s="34"/>
      <c r="C149" s="83" t="s">
        <v>54</v>
      </c>
      <c r="D149" s="113">
        <f>SUM(D148:D148)</f>
        <v>0</v>
      </c>
      <c r="E149" s="23"/>
      <c r="F149" s="221">
        <f>SUM(F145:F148)</f>
        <v>7.6499999999999999E-2</v>
      </c>
      <c r="G149" s="113">
        <f>SUM(G145:G148)</f>
        <v>39060.819000000003</v>
      </c>
      <c r="H149" s="19"/>
    </row>
    <row r="150" spans="1:8" x14ac:dyDescent="0.2">
      <c r="A150" s="11"/>
      <c r="B150" s="30"/>
      <c r="D150" s="4"/>
      <c r="E150" s="5"/>
      <c r="G150" s="22"/>
    </row>
    <row r="151" spans="1:8" ht="13.5" thickBot="1" x14ac:dyDescent="0.25">
      <c r="A151" s="11"/>
      <c r="B151" s="30"/>
      <c r="D151" s="4"/>
      <c r="E151" s="5"/>
      <c r="F151" s="15" t="s">
        <v>54</v>
      </c>
      <c r="G151" s="119">
        <f>G140+G149</f>
        <v>59910.819000000003</v>
      </c>
      <c r="H151" s="19" t="s">
        <v>181</v>
      </c>
    </row>
    <row r="152" spans="1:8" ht="12" thickTop="1" x14ac:dyDescent="0.2">
      <c r="A152" s="11"/>
      <c r="B152" s="30"/>
    </row>
    <row r="153" spans="1:8" ht="33.75" x14ac:dyDescent="0.2">
      <c r="A153" s="11"/>
      <c r="C153" s="194" t="s">
        <v>122</v>
      </c>
      <c r="D153" s="37" t="s">
        <v>105</v>
      </c>
      <c r="E153" s="37" t="s">
        <v>123</v>
      </c>
      <c r="F153" s="37" t="s">
        <v>124</v>
      </c>
    </row>
    <row r="154" spans="1:8" ht="12.75" x14ac:dyDescent="0.2">
      <c r="A154" s="11"/>
      <c r="C154" s="215" t="str">
        <f>+'.1 Cover'!A29</f>
        <v>Test #1</v>
      </c>
      <c r="D154" s="179">
        <f>+'.1 Cover'!G29</f>
        <v>12441</v>
      </c>
      <c r="E154" s="181">
        <f t="shared" ref="E154:E161" si="34">+D154/$D$162</f>
        <v>0.38794474414543639</v>
      </c>
      <c r="F154" s="177">
        <f t="shared" ref="F154:F161" si="35">+$G$151*E154</f>
        <v>23242.08734849855</v>
      </c>
      <c r="G154" s="156">
        <f>IFERROR(+F154/D154,0)</f>
        <v>1.868184820231376</v>
      </c>
      <c r="H154" s="19" t="s">
        <v>158</v>
      </c>
    </row>
    <row r="155" spans="1:8" ht="12.75" x14ac:dyDescent="0.2">
      <c r="A155" s="11"/>
      <c r="C155" s="215" t="str">
        <f>+'.1 Cover'!A30</f>
        <v>Test #2</v>
      </c>
      <c r="D155" s="179">
        <f>+'.1 Cover'!G30</f>
        <v>7911</v>
      </c>
      <c r="E155" s="181">
        <f t="shared" si="34"/>
        <v>0.24668683151953599</v>
      </c>
      <c r="F155" s="177">
        <f>+$G$151*E155</f>
        <v>14779.210112850416</v>
      </c>
      <c r="G155" s="156">
        <f t="shared" ref="G155:G161" si="36">IFERROR(+F155/D155,0)</f>
        <v>1.8681848202313762</v>
      </c>
      <c r="H155" s="19" t="s">
        <v>158</v>
      </c>
    </row>
    <row r="156" spans="1:8" ht="12.75" x14ac:dyDescent="0.2">
      <c r="A156" s="11"/>
      <c r="C156" s="215" t="str">
        <f>+'.1 Cover'!A31</f>
        <v>Test #3</v>
      </c>
      <c r="D156" s="179">
        <f>+'.1 Cover'!G31</f>
        <v>4786</v>
      </c>
      <c r="E156" s="181">
        <f t="shared" si="34"/>
        <v>0.14924069974118306</v>
      </c>
      <c r="F156" s="177">
        <f t="shared" si="35"/>
        <v>8941.1325496273657</v>
      </c>
      <c r="G156" s="156">
        <f t="shared" si="36"/>
        <v>1.868184820231376</v>
      </c>
      <c r="H156" s="19" t="s">
        <v>158</v>
      </c>
    </row>
    <row r="157" spans="1:8" ht="12.75" x14ac:dyDescent="0.2">
      <c r="A157" s="11"/>
      <c r="B157" s="30"/>
      <c r="C157" s="215" t="str">
        <f>+'.1 Cover'!A32</f>
        <v>Test #4</v>
      </c>
      <c r="D157" s="179">
        <f>+'.1 Cover'!G32</f>
        <v>1661</v>
      </c>
      <c r="E157" s="181">
        <f t="shared" si="34"/>
        <v>5.1794567962830149E-2</v>
      </c>
      <c r="F157" s="177">
        <f t="shared" si="35"/>
        <v>3103.054986404316</v>
      </c>
      <c r="G157" s="156">
        <f t="shared" si="36"/>
        <v>1.8681848202313762</v>
      </c>
      <c r="H157" s="19" t="s">
        <v>158</v>
      </c>
    </row>
    <row r="158" spans="1:8" ht="12.75" x14ac:dyDescent="0.2">
      <c r="A158" s="11"/>
      <c r="B158" s="30"/>
      <c r="C158" s="215" t="str">
        <f>+'.1 Cover'!A33</f>
        <v>Test #5</v>
      </c>
      <c r="D158" s="179">
        <f>+'.1 Cover'!G33</f>
        <v>2400</v>
      </c>
      <c r="E158" s="181">
        <f t="shared" si="34"/>
        <v>7.4838629205775054E-2</v>
      </c>
      <c r="F158" s="177">
        <f t="shared" si="35"/>
        <v>4483.6435685553033</v>
      </c>
      <c r="G158" s="156">
        <f t="shared" si="36"/>
        <v>1.8681848202313764</v>
      </c>
      <c r="H158" s="19" t="s">
        <v>158</v>
      </c>
    </row>
    <row r="159" spans="1:8" ht="12.75" x14ac:dyDescent="0.2">
      <c r="A159" s="11"/>
      <c r="B159" s="30"/>
      <c r="C159" s="215" t="str">
        <f>+'.1 Cover'!A34</f>
        <v>Test #6</v>
      </c>
      <c r="D159" s="179">
        <f>+'.1 Cover'!G34</f>
        <v>410</v>
      </c>
      <c r="E159" s="181">
        <f t="shared" si="34"/>
        <v>1.2784932489319905E-2</v>
      </c>
      <c r="F159" s="177">
        <f t="shared" si="35"/>
        <v>765.95577629486434</v>
      </c>
      <c r="G159" s="156">
        <f t="shared" si="36"/>
        <v>1.8681848202313764</v>
      </c>
      <c r="H159" s="19" t="s">
        <v>158</v>
      </c>
    </row>
    <row r="160" spans="1:8" ht="12.75" x14ac:dyDescent="0.2">
      <c r="A160" s="11"/>
      <c r="B160" s="30"/>
      <c r="C160" s="215" t="str">
        <f>+'.1 Cover'!A35</f>
        <v>Test #7</v>
      </c>
      <c r="D160" s="179">
        <f>+'.1 Cover'!G35</f>
        <v>85</v>
      </c>
      <c r="E160" s="181">
        <f t="shared" si="34"/>
        <v>2.6505347843711995E-3</v>
      </c>
      <c r="F160" s="177">
        <f t="shared" si="35"/>
        <v>158.79570971966697</v>
      </c>
      <c r="G160" s="156">
        <f t="shared" si="36"/>
        <v>1.8681848202313762</v>
      </c>
      <c r="H160" s="19" t="s">
        <v>158</v>
      </c>
    </row>
    <row r="161" spans="1:8" ht="12.75" x14ac:dyDescent="0.2">
      <c r="A161" s="11"/>
      <c r="B161" s="30"/>
      <c r="C161" s="215" t="str">
        <f>+'.1 Cover'!A36</f>
        <v>Test #8</v>
      </c>
      <c r="D161" s="186">
        <f>+'.1 Cover'!G36</f>
        <v>2375</v>
      </c>
      <c r="E161" s="181">
        <f t="shared" si="34"/>
        <v>7.4059060151548228E-2</v>
      </c>
      <c r="F161" s="187">
        <f t="shared" si="35"/>
        <v>4436.9389480495183</v>
      </c>
      <c r="G161" s="156">
        <f t="shared" si="36"/>
        <v>1.8681848202313762</v>
      </c>
      <c r="H161" s="19" t="s">
        <v>158</v>
      </c>
    </row>
    <row r="162" spans="1:8" x14ac:dyDescent="0.2">
      <c r="A162" s="11"/>
      <c r="B162" s="30"/>
      <c r="C162" s="5"/>
      <c r="D162" s="182">
        <f>SUM(D154:D161)</f>
        <v>32069</v>
      </c>
      <c r="E162" s="180"/>
      <c r="F162" s="183">
        <f>SUM(F154:F161)</f>
        <v>59910.818999999996</v>
      </c>
      <c r="G162" s="118"/>
    </row>
    <row r="163" spans="1:8" x14ac:dyDescent="0.2">
      <c r="A163" s="11"/>
      <c r="B163" s="30"/>
      <c r="D163" s="4"/>
      <c r="E163" s="5"/>
      <c r="F163" s="15"/>
      <c r="G163" s="118"/>
    </row>
    <row r="164" spans="1:8" x14ac:dyDescent="0.2">
      <c r="A164" s="11" t="s">
        <v>66</v>
      </c>
      <c r="E164" s="5"/>
      <c r="F164" s="15"/>
      <c r="G164" s="118"/>
    </row>
    <row r="165" spans="1:8" x14ac:dyDescent="0.2">
      <c r="A165" s="11" t="s">
        <v>68</v>
      </c>
      <c r="E165" s="5"/>
      <c r="F165" s="15"/>
      <c r="G165" s="118"/>
    </row>
    <row r="166" spans="1:8" x14ac:dyDescent="0.2">
      <c r="A166" s="11" t="s">
        <v>59</v>
      </c>
      <c r="B166" s="60" t="s">
        <v>41</v>
      </c>
      <c r="C166" s="61"/>
      <c r="D166" s="62"/>
      <c r="E166" s="5"/>
      <c r="F166" s="15"/>
      <c r="G166" s="118"/>
    </row>
    <row r="167" spans="1:8" x14ac:dyDescent="0.2">
      <c r="E167" s="5"/>
      <c r="F167" s="15"/>
      <c r="G167" s="118"/>
    </row>
    <row r="168" spans="1:8" ht="12.75" x14ac:dyDescent="0.2">
      <c r="A168" s="276" t="s">
        <v>127</v>
      </c>
      <c r="B168" s="277"/>
      <c r="C168" s="277"/>
      <c r="D168" s="277"/>
      <c r="E168" s="277"/>
      <c r="F168" s="277"/>
      <c r="G168" s="277"/>
      <c r="H168" s="278"/>
    </row>
    <row r="169" spans="1:8" x14ac:dyDescent="0.2">
      <c r="A169" s="257" t="s">
        <v>125</v>
      </c>
      <c r="B169" s="258"/>
      <c r="C169" s="258"/>
      <c r="D169" s="258"/>
      <c r="E169" s="258"/>
      <c r="F169" s="258"/>
      <c r="G169" s="258"/>
      <c r="H169" s="259"/>
    </row>
    <row r="170" spans="1:8" ht="40.5" customHeight="1" x14ac:dyDescent="0.2">
      <c r="A170" s="257" t="s">
        <v>199</v>
      </c>
      <c r="B170" s="258"/>
      <c r="C170" s="258"/>
      <c r="D170" s="258"/>
      <c r="E170" s="258"/>
      <c r="F170" s="258"/>
      <c r="G170" s="258"/>
      <c r="H170" s="259"/>
    </row>
    <row r="171" spans="1:8" x14ac:dyDescent="0.2">
      <c r="E171" s="5"/>
      <c r="F171" s="15"/>
      <c r="G171" s="118"/>
    </row>
    <row r="172" spans="1:8" x14ac:dyDescent="0.2">
      <c r="E172" s="5"/>
      <c r="F172" s="15"/>
      <c r="G172" s="118"/>
    </row>
    <row r="173" spans="1:8" ht="12.75" x14ac:dyDescent="0.2">
      <c r="A173" s="6" t="s">
        <v>151</v>
      </c>
      <c r="B173" s="7"/>
      <c r="C173" s="8"/>
      <c r="D173" s="9"/>
      <c r="E173" s="10"/>
      <c r="F173" s="7"/>
      <c r="G173" s="7"/>
    </row>
    <row r="174" spans="1:8" ht="22.5" x14ac:dyDescent="0.2">
      <c r="A174" s="36" t="s">
        <v>5</v>
      </c>
      <c r="B174" s="37" t="s">
        <v>129</v>
      </c>
      <c r="C174" s="37" t="s">
        <v>130</v>
      </c>
      <c r="D174" s="37" t="s">
        <v>131</v>
      </c>
      <c r="E174" s="37" t="s">
        <v>132</v>
      </c>
      <c r="F174" s="15"/>
      <c r="G174" s="118"/>
    </row>
    <row r="175" spans="1:8" x14ac:dyDescent="0.2">
      <c r="A175" s="109" t="str">
        <f>IF(A15=0,"",A15)</f>
        <v>Employee #1</v>
      </c>
      <c r="B175" s="195">
        <f t="shared" ref="B175:B178" si="37">SUMIF($A$15:$A$152,A175,$C$15:$C$152)</f>
        <v>1.4399999999999997</v>
      </c>
      <c r="C175" s="209">
        <v>1</v>
      </c>
      <c r="D175" s="180" t="str">
        <f t="shared" ref="D175:D180" si="38">IF(B175&gt;C175,"Yes","No")</f>
        <v>Yes</v>
      </c>
      <c r="E175" s="109" t="str">
        <f t="shared" ref="E175:E180" si="39">IF(D175="Yes","Reduce LOE utilized in rates above","OK")</f>
        <v>Reduce LOE utilized in rates above</v>
      </c>
      <c r="F175" s="15"/>
      <c r="G175" s="118"/>
    </row>
    <row r="176" spans="1:8" x14ac:dyDescent="0.2">
      <c r="A176" s="109" t="str">
        <f>IF(A16=0,"",A16)</f>
        <v>Employee #2</v>
      </c>
      <c r="B176" s="195">
        <f t="shared" si="37"/>
        <v>1.2</v>
      </c>
      <c r="C176" s="209">
        <v>1</v>
      </c>
      <c r="D176" s="180" t="str">
        <f t="shared" si="38"/>
        <v>Yes</v>
      </c>
      <c r="E176" s="109" t="str">
        <f t="shared" si="39"/>
        <v>Reduce LOE utilized in rates above</v>
      </c>
    </row>
    <row r="177" spans="1:7" x14ac:dyDescent="0.2">
      <c r="A177" s="109" t="str">
        <f>IF(A17=0,"",A17)</f>
        <v>Employee #3</v>
      </c>
      <c r="B177" s="195">
        <f t="shared" si="37"/>
        <v>1.2</v>
      </c>
      <c r="C177" s="209">
        <v>1</v>
      </c>
      <c r="D177" s="180" t="str">
        <f t="shared" si="38"/>
        <v>Yes</v>
      </c>
      <c r="E177" s="109" t="str">
        <f t="shared" si="39"/>
        <v>Reduce LOE utilized in rates above</v>
      </c>
    </row>
    <row r="178" spans="1:7" x14ac:dyDescent="0.2">
      <c r="A178" s="109" t="str">
        <f>IF(A136=0,"",A136)</f>
        <v>Employee #4</v>
      </c>
      <c r="B178" s="195">
        <f t="shared" si="37"/>
        <v>0.3</v>
      </c>
      <c r="C178" s="209">
        <v>1</v>
      </c>
      <c r="D178" s="180" t="str">
        <f t="shared" si="38"/>
        <v>No</v>
      </c>
      <c r="E178" s="109" t="str">
        <f t="shared" si="39"/>
        <v>OK</v>
      </c>
      <c r="F178" s="117"/>
    </row>
    <row r="179" spans="1:7" x14ac:dyDescent="0.2">
      <c r="A179" s="109" t="str">
        <f>IF(A145=0,"",A145)</f>
        <v>Graduate Assistant #1</v>
      </c>
      <c r="B179" s="195">
        <f>SUMIF($A$15:$A$152,A179,$C$15:$C$152)</f>
        <v>0.9</v>
      </c>
      <c r="C179" s="209">
        <v>1</v>
      </c>
      <c r="D179" s="180" t="str">
        <f t="shared" si="38"/>
        <v>No</v>
      </c>
      <c r="E179" s="109" t="str">
        <f t="shared" si="39"/>
        <v>OK</v>
      </c>
      <c r="F179" s="15"/>
      <c r="G179" s="118"/>
    </row>
    <row r="180" spans="1:7" x14ac:dyDescent="0.2">
      <c r="A180" s="109" t="str">
        <f>IF(A146=0,"",A146)</f>
        <v>Student #1</v>
      </c>
      <c r="B180" s="195">
        <f t="shared" ref="B180" si="40">SUMIF($A$15:$A$152,A180,$C$15:$C$152)</f>
        <v>0.9</v>
      </c>
      <c r="C180" s="209">
        <v>1</v>
      </c>
      <c r="D180" s="180" t="str">
        <f t="shared" si="38"/>
        <v>No</v>
      </c>
      <c r="E180" s="109" t="str">
        <f t="shared" si="39"/>
        <v>OK</v>
      </c>
      <c r="F180" s="15"/>
      <c r="G180" s="118"/>
    </row>
    <row r="181" spans="1:7" x14ac:dyDescent="0.2">
      <c r="E181" s="5"/>
      <c r="F181" s="15"/>
      <c r="G181" s="118"/>
    </row>
    <row r="182" spans="1:7" x14ac:dyDescent="0.2">
      <c r="E182" s="5"/>
      <c r="F182" s="15"/>
      <c r="G182" s="118"/>
    </row>
    <row r="183" spans="1:7" x14ac:dyDescent="0.2">
      <c r="E183" s="5"/>
      <c r="G183" s="118"/>
    </row>
  </sheetData>
  <mergeCells count="7">
    <mergeCell ref="A120:H120"/>
    <mergeCell ref="A121:H121"/>
    <mergeCell ref="A143:H143"/>
    <mergeCell ref="A134:G134"/>
    <mergeCell ref="A170:H170"/>
    <mergeCell ref="A168:H168"/>
    <mergeCell ref="A169:H169"/>
  </mergeCells>
  <phoneticPr fontId="0" type="noConversion"/>
  <pageMargins left="0.25" right="0.25" top="0.5" bottom="0.25" header="0.5" footer="0.5"/>
  <pageSetup scale="77"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69CE-B968-4432-9459-030AB7E4881A}">
  <sheetPr codeName="Sheet11">
    <tabColor theme="9" tint="0.79998168889431442"/>
    <pageSetUpPr fitToPage="1"/>
  </sheetPr>
  <dimension ref="A1:I187"/>
  <sheetViews>
    <sheetView showGridLines="0" topLeftCell="A115" zoomScale="106" zoomScaleNormal="106" workbookViewId="0">
      <selection activeCell="C117" sqref="C117:C118"/>
    </sheetView>
  </sheetViews>
  <sheetFormatPr defaultRowHeight="11.25" x14ac:dyDescent="0.2"/>
  <cols>
    <col min="1" max="1" width="32.6640625" customWidth="1"/>
    <col min="2" max="2" width="11.1640625" customWidth="1"/>
    <col min="4" max="4" width="13.6640625" customWidth="1"/>
  </cols>
  <sheetData>
    <row r="1" spans="1:5" ht="12" x14ac:dyDescent="0.2">
      <c r="A1" s="17"/>
      <c r="D1" s="25"/>
      <c r="E1" s="19" t="s">
        <v>149</v>
      </c>
    </row>
    <row r="3" spans="1:5" ht="12.75" x14ac:dyDescent="0.2">
      <c r="A3" s="279" t="s">
        <v>148</v>
      </c>
      <c r="B3" s="280"/>
      <c r="C3" s="280"/>
      <c r="D3" s="281"/>
    </row>
    <row r="4" spans="1:5" x14ac:dyDescent="0.2">
      <c r="C4" s="15"/>
      <c r="D4" s="157"/>
    </row>
    <row r="5" spans="1:5" ht="45" x14ac:dyDescent="0.2">
      <c r="A5" s="130" t="s">
        <v>75</v>
      </c>
      <c r="B5" s="16" t="s">
        <v>3</v>
      </c>
      <c r="C5" s="33" t="s">
        <v>18</v>
      </c>
      <c r="D5" s="16" t="s">
        <v>17</v>
      </c>
    </row>
    <row r="6" spans="1:5" x14ac:dyDescent="0.2">
      <c r="A6" s="79" t="s">
        <v>97</v>
      </c>
      <c r="B6" s="212" t="str">
        <f>'.1 Cover'!$A$29</f>
        <v>Test #1</v>
      </c>
      <c r="C6" s="214"/>
      <c r="D6" s="214"/>
    </row>
    <row r="7" spans="1:5" x14ac:dyDescent="0.2">
      <c r="A7" s="131" t="s">
        <v>93</v>
      </c>
      <c r="B7" s="189">
        <v>800</v>
      </c>
      <c r="C7" s="134">
        <v>0.4</v>
      </c>
      <c r="D7" s="121">
        <f>B7*C7</f>
        <v>320</v>
      </c>
      <c r="E7" s="30"/>
    </row>
    <row r="8" spans="1:5" x14ac:dyDescent="0.2">
      <c r="A8" s="131"/>
      <c r="B8" s="133"/>
      <c r="C8" s="132"/>
      <c r="D8" s="122">
        <f>B8*C8</f>
        <v>0</v>
      </c>
      <c r="E8" s="30"/>
    </row>
    <row r="9" spans="1:5" x14ac:dyDescent="0.2">
      <c r="D9" s="117"/>
    </row>
    <row r="10" spans="1:5" x14ac:dyDescent="0.2">
      <c r="C10" s="15" t="s">
        <v>173</v>
      </c>
      <c r="D10" s="120">
        <f>SUM(D7:D9)</f>
        <v>320</v>
      </c>
    </row>
    <row r="11" spans="1:5" x14ac:dyDescent="0.2">
      <c r="C11" s="15"/>
      <c r="D11" s="157"/>
    </row>
    <row r="12" spans="1:5" x14ac:dyDescent="0.2">
      <c r="B12" s="73" t="s">
        <v>104</v>
      </c>
      <c r="D12" s="115">
        <f>+'.1 Cover'!G29</f>
        <v>12441</v>
      </c>
    </row>
    <row r="13" spans="1:5" ht="12" thickBot="1" x14ac:dyDescent="0.25">
      <c r="B13" s="15" t="s">
        <v>174</v>
      </c>
      <c r="C13" s="34"/>
      <c r="D13" s="116">
        <f>IFERROR(+D10/D12,0)</f>
        <v>2.5721405031749859E-2</v>
      </c>
      <c r="E13" s="19" t="s">
        <v>102</v>
      </c>
    </row>
    <row r="14" spans="1:5" ht="12" thickTop="1" x14ac:dyDescent="0.2">
      <c r="B14" s="185"/>
      <c r="C14" s="34"/>
      <c r="D14" s="161"/>
      <c r="E14" s="19"/>
    </row>
    <row r="15" spans="1:5" ht="45" x14ac:dyDescent="0.2">
      <c r="A15" s="130" t="s">
        <v>75</v>
      </c>
      <c r="B15" s="2" t="s">
        <v>3</v>
      </c>
      <c r="C15" s="33" t="s">
        <v>18</v>
      </c>
      <c r="D15" s="16" t="s">
        <v>17</v>
      </c>
    </row>
    <row r="16" spans="1:5" x14ac:dyDescent="0.2">
      <c r="A16" s="79" t="s">
        <v>97</v>
      </c>
      <c r="B16" s="212" t="str">
        <f>'.1 Cover'!$A$30</f>
        <v>Test #2</v>
      </c>
      <c r="C16" s="214"/>
      <c r="D16" s="214"/>
    </row>
    <row r="17" spans="1:7" x14ac:dyDescent="0.2">
      <c r="A17" s="131" t="s">
        <v>93</v>
      </c>
      <c r="B17" s="189">
        <v>800</v>
      </c>
      <c r="C17" s="134">
        <v>0.4</v>
      </c>
      <c r="D17" s="121">
        <f>B17*C17</f>
        <v>320</v>
      </c>
      <c r="E17" s="30"/>
      <c r="F17" s="30"/>
      <c r="G17" s="30"/>
    </row>
    <row r="18" spans="1:7" x14ac:dyDescent="0.2">
      <c r="A18" s="131"/>
      <c r="B18" s="133"/>
      <c r="C18" s="132"/>
      <c r="D18" s="122">
        <f>B18*C18</f>
        <v>0</v>
      </c>
      <c r="E18" s="30"/>
      <c r="F18" s="30"/>
      <c r="G18" s="30"/>
    </row>
    <row r="19" spans="1:7" x14ac:dyDescent="0.2">
      <c r="D19" s="117"/>
    </row>
    <row r="20" spans="1:7" x14ac:dyDescent="0.2">
      <c r="C20" s="15" t="s">
        <v>173</v>
      </c>
      <c r="D20" s="120">
        <f>SUM(D17:D19)</f>
        <v>320</v>
      </c>
    </row>
    <row r="21" spans="1:7" x14ac:dyDescent="0.2">
      <c r="C21" s="15"/>
      <c r="D21" s="157"/>
    </row>
    <row r="22" spans="1:7" x14ac:dyDescent="0.2">
      <c r="B22" s="73" t="s">
        <v>104</v>
      </c>
      <c r="D22" s="115">
        <f>+'.1 Cover'!G30</f>
        <v>7911</v>
      </c>
    </row>
    <row r="23" spans="1:7" ht="12" thickBot="1" x14ac:dyDescent="0.25">
      <c r="B23" s="15" t="s">
        <v>174</v>
      </c>
      <c r="C23" s="34"/>
      <c r="D23" s="116">
        <f>IFERROR(+D20/D22,0)</f>
        <v>4.0450006320313488E-2</v>
      </c>
      <c r="E23" s="19" t="s">
        <v>102</v>
      </c>
    </row>
    <row r="24" spans="1:7" ht="12" thickTop="1" x14ac:dyDescent="0.2">
      <c r="B24" s="15"/>
      <c r="C24" s="34"/>
      <c r="D24" s="161"/>
    </row>
    <row r="25" spans="1:7" ht="45" x14ac:dyDescent="0.2">
      <c r="A25" s="130" t="s">
        <v>75</v>
      </c>
      <c r="B25" s="16" t="s">
        <v>3</v>
      </c>
      <c r="C25" s="33" t="s">
        <v>18</v>
      </c>
      <c r="D25" s="16" t="s">
        <v>17</v>
      </c>
    </row>
    <row r="26" spans="1:7" x14ac:dyDescent="0.2">
      <c r="A26" s="79" t="s">
        <v>97</v>
      </c>
      <c r="B26" s="212" t="str">
        <f>'.1 Cover'!$A$31</f>
        <v>Test #3</v>
      </c>
      <c r="C26" s="214"/>
      <c r="D26" s="214"/>
    </row>
    <row r="27" spans="1:7" x14ac:dyDescent="0.2">
      <c r="A27" s="131" t="s">
        <v>93</v>
      </c>
      <c r="B27" s="189">
        <v>800</v>
      </c>
      <c r="C27" s="134">
        <v>0.4</v>
      </c>
      <c r="D27" s="121">
        <f>B27*C27</f>
        <v>320</v>
      </c>
      <c r="E27" s="30"/>
    </row>
    <row r="28" spans="1:7" x14ac:dyDescent="0.2">
      <c r="A28" s="131"/>
      <c r="B28" s="133"/>
      <c r="C28" s="132"/>
      <c r="D28" s="122">
        <f>B28*C28</f>
        <v>0</v>
      </c>
    </row>
    <row r="29" spans="1:7" x14ac:dyDescent="0.2">
      <c r="D29" s="117"/>
    </row>
    <row r="30" spans="1:7" x14ac:dyDescent="0.2">
      <c r="C30" s="15" t="s">
        <v>173</v>
      </c>
      <c r="D30" s="120">
        <f>SUM(D27:D29)</f>
        <v>320</v>
      </c>
    </row>
    <row r="31" spans="1:7" x14ac:dyDescent="0.2">
      <c r="C31" s="15"/>
      <c r="D31" s="157"/>
    </row>
    <row r="32" spans="1:7" x14ac:dyDescent="0.2">
      <c r="B32" s="73" t="s">
        <v>104</v>
      </c>
      <c r="D32" s="115">
        <f>+'.1 Cover'!G31</f>
        <v>4786</v>
      </c>
    </row>
    <row r="33" spans="1:5" ht="12" thickBot="1" x14ac:dyDescent="0.25">
      <c r="B33" s="15" t="s">
        <v>174</v>
      </c>
      <c r="C33" s="34"/>
      <c r="D33" s="116">
        <f>IFERROR(+D30/D32,0)</f>
        <v>6.6861679899707482E-2</v>
      </c>
      <c r="E33" s="19" t="s">
        <v>102</v>
      </c>
    </row>
    <row r="34" spans="1:5" ht="12" thickTop="1" x14ac:dyDescent="0.2">
      <c r="B34" s="15"/>
      <c r="C34" s="34"/>
      <c r="D34" s="161"/>
    </row>
    <row r="35" spans="1:5" ht="45" x14ac:dyDescent="0.2">
      <c r="A35" s="130" t="s">
        <v>75</v>
      </c>
      <c r="B35" s="16" t="s">
        <v>3</v>
      </c>
      <c r="C35" s="33" t="s">
        <v>18</v>
      </c>
      <c r="D35" s="16" t="s">
        <v>17</v>
      </c>
    </row>
    <row r="36" spans="1:5" x14ac:dyDescent="0.2">
      <c r="A36" s="79" t="s">
        <v>97</v>
      </c>
      <c r="B36" s="212" t="str">
        <f>'.1 Cover'!$A$32</f>
        <v>Test #4</v>
      </c>
      <c r="C36" s="214"/>
      <c r="D36" s="214"/>
    </row>
    <row r="37" spans="1:5" x14ac:dyDescent="0.2">
      <c r="A37" s="131" t="s">
        <v>93</v>
      </c>
      <c r="B37" s="189">
        <v>800</v>
      </c>
      <c r="C37" s="134">
        <v>0.4</v>
      </c>
      <c r="D37" s="121">
        <f>B37*C37</f>
        <v>320</v>
      </c>
      <c r="E37" s="30"/>
    </row>
    <row r="38" spans="1:5" x14ac:dyDescent="0.2">
      <c r="A38" s="131"/>
      <c r="B38" s="133"/>
      <c r="C38" s="132"/>
      <c r="D38" s="122">
        <f>B38*C38</f>
        <v>0</v>
      </c>
    </row>
    <row r="39" spans="1:5" x14ac:dyDescent="0.2">
      <c r="D39" s="117"/>
    </row>
    <row r="40" spans="1:5" x14ac:dyDescent="0.2">
      <c r="C40" s="15" t="s">
        <v>173</v>
      </c>
      <c r="D40" s="120">
        <f>SUM(D37:D39)</f>
        <v>320</v>
      </c>
    </row>
    <row r="41" spans="1:5" x14ac:dyDescent="0.2">
      <c r="C41" s="15"/>
      <c r="D41" s="157"/>
    </row>
    <row r="42" spans="1:5" x14ac:dyDescent="0.2">
      <c r="B42" s="73" t="s">
        <v>104</v>
      </c>
      <c r="D42" s="115">
        <f>+'.1 Cover'!G32</f>
        <v>1661</v>
      </c>
    </row>
    <row r="43" spans="1:5" ht="12" thickBot="1" x14ac:dyDescent="0.25">
      <c r="B43" s="15" t="s">
        <v>174</v>
      </c>
      <c r="C43" s="34"/>
      <c r="D43" s="116">
        <f>IFERROR(+D40/D42,0)</f>
        <v>0.19265502709211318</v>
      </c>
      <c r="E43" s="19" t="s">
        <v>102</v>
      </c>
    </row>
    <row r="44" spans="1:5" ht="12" thickTop="1" x14ac:dyDescent="0.2">
      <c r="B44" s="15"/>
      <c r="C44" s="34"/>
      <c r="D44" s="161"/>
    </row>
    <row r="45" spans="1:5" ht="45" x14ac:dyDescent="0.2">
      <c r="A45" s="130" t="s">
        <v>75</v>
      </c>
      <c r="B45" s="16" t="s">
        <v>3</v>
      </c>
      <c r="C45" s="33" t="s">
        <v>18</v>
      </c>
      <c r="D45" s="16" t="s">
        <v>17</v>
      </c>
    </row>
    <row r="46" spans="1:5" x14ac:dyDescent="0.2">
      <c r="A46" s="79" t="s">
        <v>97</v>
      </c>
      <c r="B46" s="212" t="str">
        <f>'.1 Cover'!$A$33</f>
        <v>Test #5</v>
      </c>
      <c r="C46" s="214"/>
      <c r="D46" s="214"/>
    </row>
    <row r="47" spans="1:5" x14ac:dyDescent="0.2">
      <c r="A47" s="131" t="s">
        <v>93</v>
      </c>
      <c r="B47" s="189">
        <v>800</v>
      </c>
      <c r="C47" s="134">
        <v>0.4</v>
      </c>
      <c r="D47" s="121">
        <f>B47*C47</f>
        <v>320</v>
      </c>
      <c r="E47" s="30"/>
    </row>
    <row r="48" spans="1:5" x14ac:dyDescent="0.2">
      <c r="A48" s="131"/>
      <c r="B48" s="133"/>
      <c r="C48" s="132"/>
      <c r="D48" s="122">
        <f>B48*C48</f>
        <v>0</v>
      </c>
    </row>
    <row r="49" spans="1:5" x14ac:dyDescent="0.2">
      <c r="D49" s="117"/>
    </row>
    <row r="50" spans="1:5" x14ac:dyDescent="0.2">
      <c r="C50" s="15" t="s">
        <v>173</v>
      </c>
      <c r="D50" s="120">
        <f>SUM(D47:D49)</f>
        <v>320</v>
      </c>
    </row>
    <row r="51" spans="1:5" x14ac:dyDescent="0.2">
      <c r="C51" s="15"/>
      <c r="D51" s="157"/>
    </row>
    <row r="52" spans="1:5" x14ac:dyDescent="0.2">
      <c r="B52" s="73" t="s">
        <v>104</v>
      </c>
      <c r="D52" s="115">
        <f>+'.1 Cover'!G33</f>
        <v>2400</v>
      </c>
    </row>
    <row r="53" spans="1:5" ht="12" thickBot="1" x14ac:dyDescent="0.25">
      <c r="B53" s="15" t="s">
        <v>174</v>
      </c>
      <c r="C53" s="34"/>
      <c r="D53" s="116">
        <f>IFERROR(+D50/D52,0)</f>
        <v>0.13333333333333333</v>
      </c>
      <c r="E53" s="19" t="s">
        <v>102</v>
      </c>
    </row>
    <row r="54" spans="1:5" ht="12" thickTop="1" x14ac:dyDescent="0.2">
      <c r="B54" s="15"/>
      <c r="C54" s="34"/>
      <c r="D54" s="161"/>
    </row>
    <row r="55" spans="1:5" ht="45" x14ac:dyDescent="0.2">
      <c r="A55" s="130" t="s">
        <v>75</v>
      </c>
      <c r="B55" s="16" t="s">
        <v>3</v>
      </c>
      <c r="C55" s="33" t="s">
        <v>18</v>
      </c>
      <c r="D55" s="16" t="s">
        <v>17</v>
      </c>
    </row>
    <row r="56" spans="1:5" x14ac:dyDescent="0.2">
      <c r="A56" s="79" t="s">
        <v>97</v>
      </c>
      <c r="B56" s="212" t="str">
        <f>'.1 Cover'!$A$34</f>
        <v>Test #6</v>
      </c>
      <c r="C56" s="214"/>
      <c r="D56" s="214"/>
    </row>
    <row r="57" spans="1:5" x14ac:dyDescent="0.2">
      <c r="A57" s="131" t="s">
        <v>93</v>
      </c>
      <c r="B57" s="189">
        <v>800</v>
      </c>
      <c r="C57" s="134">
        <v>0.4</v>
      </c>
      <c r="D57" s="121">
        <f>B57*C57</f>
        <v>320</v>
      </c>
      <c r="E57" s="30"/>
    </row>
    <row r="58" spans="1:5" x14ac:dyDescent="0.2">
      <c r="A58" s="131"/>
      <c r="B58" s="133"/>
      <c r="C58" s="132"/>
      <c r="D58" s="122">
        <f>B58*C58</f>
        <v>0</v>
      </c>
    </row>
    <row r="59" spans="1:5" x14ac:dyDescent="0.2">
      <c r="D59" s="117"/>
    </row>
    <row r="60" spans="1:5" x14ac:dyDescent="0.2">
      <c r="C60" s="15" t="s">
        <v>173</v>
      </c>
      <c r="D60" s="120">
        <f>SUM(D57:D59)</f>
        <v>320</v>
      </c>
    </row>
    <row r="61" spans="1:5" x14ac:dyDescent="0.2">
      <c r="C61" s="15"/>
      <c r="D61" s="157"/>
    </row>
    <row r="62" spans="1:5" x14ac:dyDescent="0.2">
      <c r="B62" s="73" t="s">
        <v>104</v>
      </c>
      <c r="D62" s="115">
        <f>+'.1 Cover'!G34</f>
        <v>410</v>
      </c>
    </row>
    <row r="63" spans="1:5" ht="12" thickBot="1" x14ac:dyDescent="0.25">
      <c r="B63" s="15" t="s">
        <v>174</v>
      </c>
      <c r="C63" s="34"/>
      <c r="D63" s="116">
        <f>IFERROR(+D60/D62,0)</f>
        <v>0.78048780487804881</v>
      </c>
      <c r="E63" s="19" t="s">
        <v>102</v>
      </c>
    </row>
    <row r="64" spans="1:5" ht="12" thickTop="1" x14ac:dyDescent="0.2">
      <c r="B64" s="15"/>
      <c r="C64" s="34"/>
      <c r="D64" s="161"/>
    </row>
    <row r="65" spans="1:5" ht="45" x14ac:dyDescent="0.2">
      <c r="A65" s="130" t="s">
        <v>75</v>
      </c>
      <c r="B65" s="16" t="s">
        <v>3</v>
      </c>
      <c r="C65" s="33" t="s">
        <v>18</v>
      </c>
      <c r="D65" s="16" t="s">
        <v>17</v>
      </c>
    </row>
    <row r="66" spans="1:5" x14ac:dyDescent="0.2">
      <c r="A66" s="79" t="s">
        <v>97</v>
      </c>
      <c r="B66" s="212" t="str">
        <f>'.1 Cover'!$A$35</f>
        <v>Test #7</v>
      </c>
      <c r="C66" s="214"/>
      <c r="D66" s="214"/>
    </row>
    <row r="67" spans="1:5" x14ac:dyDescent="0.2">
      <c r="A67" s="131" t="s">
        <v>93</v>
      </c>
      <c r="B67" s="189">
        <v>800</v>
      </c>
      <c r="C67" s="134">
        <v>0.4</v>
      </c>
      <c r="D67" s="121">
        <f>B67*C67</f>
        <v>320</v>
      </c>
      <c r="E67" s="30"/>
    </row>
    <row r="68" spans="1:5" x14ac:dyDescent="0.2">
      <c r="A68" s="131"/>
      <c r="B68" s="133"/>
      <c r="C68" s="132"/>
      <c r="D68" s="122">
        <f>B68*C68</f>
        <v>0</v>
      </c>
    </row>
    <row r="69" spans="1:5" x14ac:dyDescent="0.2">
      <c r="D69" s="117"/>
    </row>
    <row r="70" spans="1:5" x14ac:dyDescent="0.2">
      <c r="C70" s="15" t="s">
        <v>173</v>
      </c>
      <c r="D70" s="120">
        <f>SUM(D67:D69)</f>
        <v>320</v>
      </c>
    </row>
    <row r="71" spans="1:5" x14ac:dyDescent="0.2">
      <c r="C71" s="15"/>
      <c r="D71" s="157"/>
    </row>
    <row r="72" spans="1:5" x14ac:dyDescent="0.2">
      <c r="B72" s="73" t="s">
        <v>104</v>
      </c>
      <c r="D72" s="115">
        <f>+'.1 Cover'!G35</f>
        <v>85</v>
      </c>
    </row>
    <row r="73" spans="1:5" ht="12" thickBot="1" x14ac:dyDescent="0.25">
      <c r="B73" s="15" t="s">
        <v>174</v>
      </c>
      <c r="C73" s="34"/>
      <c r="D73" s="116">
        <f>IFERROR(+D70/D72,0)</f>
        <v>3.7647058823529411</v>
      </c>
      <c r="E73" s="19" t="s">
        <v>102</v>
      </c>
    </row>
    <row r="74" spans="1:5" ht="12" thickTop="1" x14ac:dyDescent="0.2"/>
    <row r="75" spans="1:5" ht="45" x14ac:dyDescent="0.2">
      <c r="A75" s="130" t="s">
        <v>75</v>
      </c>
      <c r="B75" s="16" t="s">
        <v>3</v>
      </c>
      <c r="C75" s="33" t="s">
        <v>18</v>
      </c>
      <c r="D75" s="16" t="s">
        <v>17</v>
      </c>
    </row>
    <row r="76" spans="1:5" x14ac:dyDescent="0.2">
      <c r="A76" s="79" t="s">
        <v>97</v>
      </c>
      <c r="B76" s="212" t="str">
        <f>'.1 Cover'!$A$36</f>
        <v>Test #8</v>
      </c>
      <c r="C76" s="214"/>
      <c r="D76" s="214"/>
    </row>
    <row r="77" spans="1:5" x14ac:dyDescent="0.2">
      <c r="A77" s="131" t="s">
        <v>93</v>
      </c>
      <c r="B77" s="189">
        <v>800</v>
      </c>
      <c r="C77" s="134">
        <v>0.4</v>
      </c>
      <c r="D77" s="121">
        <f>B77*C77</f>
        <v>320</v>
      </c>
      <c r="E77" s="30"/>
    </row>
    <row r="78" spans="1:5" x14ac:dyDescent="0.2">
      <c r="A78" s="131"/>
      <c r="B78" s="133"/>
      <c r="C78" s="132"/>
      <c r="D78" s="122">
        <f>B78*C78</f>
        <v>0</v>
      </c>
    </row>
    <row r="79" spans="1:5" x14ac:dyDescent="0.2">
      <c r="D79" s="117"/>
    </row>
    <row r="80" spans="1:5" x14ac:dyDescent="0.2">
      <c r="C80" s="15" t="s">
        <v>173</v>
      </c>
      <c r="D80" s="120">
        <f>SUM(D77:D79)</f>
        <v>320</v>
      </c>
    </row>
    <row r="81" spans="1:9" x14ac:dyDescent="0.2">
      <c r="C81" s="15"/>
      <c r="D81" s="157"/>
    </row>
    <row r="82" spans="1:9" x14ac:dyDescent="0.2">
      <c r="B82" s="73" t="s">
        <v>104</v>
      </c>
      <c r="D82" s="115">
        <f>+'.1 Cover'!G36</f>
        <v>2375</v>
      </c>
    </row>
    <row r="83" spans="1:9" ht="12" thickBot="1" x14ac:dyDescent="0.25">
      <c r="B83" s="15" t="s">
        <v>174</v>
      </c>
      <c r="C83" s="34"/>
      <c r="D83" s="116">
        <f>IFERROR(+D80/D82,0)</f>
        <v>0.13473684210526315</v>
      </c>
      <c r="E83" s="19" t="s">
        <v>102</v>
      </c>
    </row>
    <row r="84" spans="1:9" ht="12" thickTop="1" x14ac:dyDescent="0.2"/>
    <row r="86" spans="1:9" ht="13.5" thickBot="1" x14ac:dyDescent="0.25">
      <c r="B86" s="230" t="s">
        <v>177</v>
      </c>
      <c r="D86" s="119">
        <f>+D22+D12+D32+D42+D52+D62+D72+D82</f>
        <v>32069</v>
      </c>
    </row>
    <row r="87" spans="1:9" ht="14.25" thickTop="1" thickBot="1" x14ac:dyDescent="0.25">
      <c r="B87" s="81" t="s">
        <v>172</v>
      </c>
      <c r="D87" s="231">
        <f>+D20+D10+D30+D40+D50+D60+D70+D80</f>
        <v>2560</v>
      </c>
      <c r="E87" s="19" t="s">
        <v>181</v>
      </c>
    </row>
    <row r="88" spans="1:9" ht="12" thickTop="1" x14ac:dyDescent="0.2"/>
    <row r="89" spans="1:9" x14ac:dyDescent="0.2">
      <c r="A89" s="175"/>
      <c r="B89" s="175"/>
      <c r="C89" s="175"/>
      <c r="D89" s="175"/>
      <c r="E89" s="175"/>
      <c r="F89" s="175"/>
      <c r="G89" s="175"/>
      <c r="H89" s="175"/>
      <c r="I89" s="175"/>
    </row>
    <row r="90" spans="1:9" ht="12.75" x14ac:dyDescent="0.2">
      <c r="A90" s="279" t="s">
        <v>150</v>
      </c>
      <c r="B90" s="280"/>
      <c r="C90" s="280"/>
      <c r="D90" s="281"/>
    </row>
    <row r="92" spans="1:9" ht="45" x14ac:dyDescent="0.2">
      <c r="A92" s="130" t="s">
        <v>75</v>
      </c>
      <c r="B92" s="16" t="s">
        <v>3</v>
      </c>
      <c r="C92" s="33" t="s">
        <v>18</v>
      </c>
      <c r="D92" s="16" t="s">
        <v>17</v>
      </c>
    </row>
    <row r="93" spans="1:9" x14ac:dyDescent="0.2">
      <c r="A93" s="79" t="s">
        <v>97</v>
      </c>
      <c r="B93" s="212" t="str">
        <f>'.1 Cover'!A29</f>
        <v>Test #1</v>
      </c>
      <c r="C93" s="214"/>
      <c r="D93" s="214"/>
    </row>
    <row r="94" spans="1:9" x14ac:dyDescent="0.2">
      <c r="A94" s="131" t="s">
        <v>93</v>
      </c>
      <c r="B94" s="189">
        <v>800</v>
      </c>
      <c r="C94" s="134">
        <v>0.4</v>
      </c>
      <c r="D94" s="121">
        <f>B94*C94</f>
        <v>320</v>
      </c>
      <c r="E94" s="30"/>
    </row>
    <row r="95" spans="1:9" x14ac:dyDescent="0.2">
      <c r="A95" s="131" t="s">
        <v>94</v>
      </c>
      <c r="B95" s="189">
        <v>500</v>
      </c>
      <c r="C95" s="190">
        <v>0.4</v>
      </c>
      <c r="D95" s="122">
        <f t="shared" ref="D95:D96" si="0">B95*C95</f>
        <v>200</v>
      </c>
      <c r="E95" s="30"/>
    </row>
    <row r="96" spans="1:9" x14ac:dyDescent="0.2">
      <c r="A96" s="131" t="s">
        <v>95</v>
      </c>
      <c r="B96" s="189">
        <v>100</v>
      </c>
      <c r="C96" s="190">
        <v>0.4</v>
      </c>
      <c r="D96" s="122">
        <f t="shared" si="0"/>
        <v>40</v>
      </c>
      <c r="E96" s="30"/>
    </row>
    <row r="97" spans="1:7" x14ac:dyDescent="0.2">
      <c r="D97" s="117"/>
    </row>
    <row r="98" spans="1:7" x14ac:dyDescent="0.2">
      <c r="C98" s="15" t="s">
        <v>175</v>
      </c>
      <c r="D98" s="120">
        <f>SUM(D94:D97)</f>
        <v>560</v>
      </c>
    </row>
    <row r="99" spans="1:7" x14ac:dyDescent="0.2">
      <c r="C99" s="15"/>
      <c r="D99" s="157"/>
    </row>
    <row r="100" spans="1:7" x14ac:dyDescent="0.2">
      <c r="B100" s="73" t="s">
        <v>104</v>
      </c>
      <c r="D100" s="115">
        <f>+'.1 Cover'!G29</f>
        <v>12441</v>
      </c>
    </row>
    <row r="101" spans="1:7" ht="12" thickBot="1" x14ac:dyDescent="0.25">
      <c r="B101" s="15" t="s">
        <v>176</v>
      </c>
      <c r="C101" s="34"/>
      <c r="D101" s="116">
        <f>IFERROR(+D98/D100,0)</f>
        <v>4.5012458805562254E-2</v>
      </c>
      <c r="E101" s="19" t="s">
        <v>102</v>
      </c>
    </row>
    <row r="102" spans="1:7" ht="12" thickTop="1" x14ac:dyDescent="0.2">
      <c r="B102" s="185"/>
      <c r="C102" s="34"/>
      <c r="D102" s="161"/>
      <c r="E102" s="19"/>
    </row>
    <row r="103" spans="1:7" ht="45" x14ac:dyDescent="0.2">
      <c r="A103" s="130" t="s">
        <v>75</v>
      </c>
      <c r="B103" s="2" t="s">
        <v>3</v>
      </c>
      <c r="C103" s="33" t="s">
        <v>18</v>
      </c>
      <c r="D103" s="16" t="s">
        <v>17</v>
      </c>
    </row>
    <row r="104" spans="1:7" x14ac:dyDescent="0.2">
      <c r="A104" s="79" t="s">
        <v>97</v>
      </c>
      <c r="B104" s="212" t="str">
        <f>'.1 Cover'!A30</f>
        <v>Test #2</v>
      </c>
      <c r="C104" s="214"/>
      <c r="D104" s="214"/>
    </row>
    <row r="105" spans="1:7" x14ac:dyDescent="0.2">
      <c r="A105" s="131" t="s">
        <v>93</v>
      </c>
      <c r="B105" s="189">
        <v>800</v>
      </c>
      <c r="C105" s="134">
        <v>0.25</v>
      </c>
      <c r="D105" s="121">
        <f>B105*C105</f>
        <v>200</v>
      </c>
      <c r="E105" s="30"/>
      <c r="F105" s="30"/>
      <c r="G105" s="30"/>
    </row>
    <row r="106" spans="1:7" x14ac:dyDescent="0.2">
      <c r="A106" s="131" t="s">
        <v>94</v>
      </c>
      <c r="B106" s="189">
        <v>500</v>
      </c>
      <c r="C106" s="295">
        <v>0.15</v>
      </c>
      <c r="D106" s="122">
        <f t="shared" ref="D106:D107" si="1">B106*C106</f>
        <v>75</v>
      </c>
      <c r="E106" s="30"/>
      <c r="F106" s="30"/>
      <c r="G106" s="30"/>
    </row>
    <row r="107" spans="1:7" x14ac:dyDescent="0.2">
      <c r="A107" s="131" t="s">
        <v>95</v>
      </c>
      <c r="B107" s="189">
        <v>100</v>
      </c>
      <c r="C107" s="295">
        <v>0.15</v>
      </c>
      <c r="D107" s="122">
        <f t="shared" si="1"/>
        <v>15</v>
      </c>
      <c r="E107" s="30"/>
      <c r="F107" s="30"/>
      <c r="G107" s="30"/>
    </row>
    <row r="108" spans="1:7" x14ac:dyDescent="0.2">
      <c r="D108" s="117"/>
    </row>
    <row r="109" spans="1:7" x14ac:dyDescent="0.2">
      <c r="C109" s="15" t="s">
        <v>175</v>
      </c>
      <c r="D109" s="120">
        <f>SUM(D105:D108)</f>
        <v>290</v>
      </c>
    </row>
    <row r="110" spans="1:7" x14ac:dyDescent="0.2">
      <c r="C110" s="15"/>
      <c r="D110" s="157"/>
    </row>
    <row r="111" spans="1:7" x14ac:dyDescent="0.2">
      <c r="B111" s="73" t="s">
        <v>104</v>
      </c>
      <c r="D111" s="115">
        <f>+'.1 Cover'!G30</f>
        <v>7911</v>
      </c>
    </row>
    <row r="112" spans="1:7" ht="12" thickBot="1" x14ac:dyDescent="0.25">
      <c r="B112" s="15" t="s">
        <v>176</v>
      </c>
      <c r="C112" s="34"/>
      <c r="D112" s="116">
        <f>IFERROR(+D109/D111,0)</f>
        <v>3.6657818227784099E-2</v>
      </c>
      <c r="E112" s="19" t="s">
        <v>102</v>
      </c>
    </row>
    <row r="113" spans="1:5" ht="12" thickTop="1" x14ac:dyDescent="0.2">
      <c r="B113" s="15"/>
      <c r="C113" s="34"/>
      <c r="D113" s="161"/>
    </row>
    <row r="114" spans="1:5" ht="45" x14ac:dyDescent="0.2">
      <c r="A114" s="130" t="s">
        <v>75</v>
      </c>
      <c r="B114" s="16" t="s">
        <v>3</v>
      </c>
      <c r="C114" s="33" t="s">
        <v>18</v>
      </c>
      <c r="D114" s="16" t="s">
        <v>17</v>
      </c>
    </row>
    <row r="115" spans="1:5" x14ac:dyDescent="0.2">
      <c r="A115" s="79" t="s">
        <v>97</v>
      </c>
      <c r="B115" s="212" t="str">
        <f>'.1 Cover'!A31</f>
        <v>Test #3</v>
      </c>
      <c r="C115" s="214"/>
      <c r="D115" s="214"/>
    </row>
    <row r="116" spans="1:5" x14ac:dyDescent="0.2">
      <c r="A116" s="131" t="s">
        <v>93</v>
      </c>
      <c r="B116" s="189">
        <v>800</v>
      </c>
      <c r="C116" s="134">
        <v>0.15</v>
      </c>
      <c r="D116" s="121">
        <f>B116*C116</f>
        <v>120</v>
      </c>
      <c r="E116" s="30"/>
    </row>
    <row r="117" spans="1:5" x14ac:dyDescent="0.2">
      <c r="A117" s="131" t="s">
        <v>94</v>
      </c>
      <c r="B117" s="189">
        <v>500</v>
      </c>
      <c r="C117" s="295">
        <v>0.15</v>
      </c>
      <c r="D117" s="122">
        <f t="shared" ref="D117:D118" si="2">B117*C117</f>
        <v>75</v>
      </c>
      <c r="E117" s="30"/>
    </row>
    <row r="118" spans="1:5" x14ac:dyDescent="0.2">
      <c r="A118" s="131" t="s">
        <v>95</v>
      </c>
      <c r="B118" s="189">
        <v>100</v>
      </c>
      <c r="C118" s="295">
        <v>0.15</v>
      </c>
      <c r="D118" s="122">
        <f t="shared" si="2"/>
        <v>15</v>
      </c>
      <c r="E118" s="30"/>
    </row>
    <row r="119" spans="1:5" x14ac:dyDescent="0.2">
      <c r="D119" s="117"/>
    </row>
    <row r="120" spans="1:5" x14ac:dyDescent="0.2">
      <c r="C120" s="15" t="s">
        <v>175</v>
      </c>
      <c r="D120" s="120">
        <f>SUM(D116:D119)</f>
        <v>210</v>
      </c>
    </row>
    <row r="121" spans="1:5" x14ac:dyDescent="0.2">
      <c r="C121" s="15"/>
      <c r="D121" s="157"/>
    </row>
    <row r="122" spans="1:5" x14ac:dyDescent="0.2">
      <c r="B122" s="73" t="s">
        <v>104</v>
      </c>
      <c r="D122" s="115">
        <f>+'.1 Cover'!G31</f>
        <v>4786</v>
      </c>
    </row>
    <row r="123" spans="1:5" ht="12" thickBot="1" x14ac:dyDescent="0.25">
      <c r="B123" s="15" t="s">
        <v>176</v>
      </c>
      <c r="C123" s="34"/>
      <c r="D123" s="116">
        <f>IFERROR(+D120/D122,0)</f>
        <v>4.3877977434183035E-2</v>
      </c>
      <c r="E123" s="19" t="s">
        <v>102</v>
      </c>
    </row>
    <row r="124" spans="1:5" ht="12" thickTop="1" x14ac:dyDescent="0.2">
      <c r="B124" s="15"/>
      <c r="C124" s="34"/>
      <c r="D124" s="161"/>
    </row>
    <row r="125" spans="1:5" ht="45" x14ac:dyDescent="0.2">
      <c r="A125" s="130" t="s">
        <v>75</v>
      </c>
      <c r="B125" s="16" t="s">
        <v>3</v>
      </c>
      <c r="C125" s="33" t="s">
        <v>18</v>
      </c>
      <c r="D125" s="16" t="s">
        <v>17</v>
      </c>
    </row>
    <row r="126" spans="1:5" x14ac:dyDescent="0.2">
      <c r="A126" s="79" t="s">
        <v>97</v>
      </c>
      <c r="B126" s="212" t="str">
        <f>'.1 Cover'!A32</f>
        <v>Test #4</v>
      </c>
      <c r="C126" s="214"/>
      <c r="D126" s="214"/>
    </row>
    <row r="127" spans="1:5" x14ac:dyDescent="0.2">
      <c r="A127" s="131" t="s">
        <v>93</v>
      </c>
      <c r="B127" s="189">
        <v>800</v>
      </c>
      <c r="C127" s="134">
        <v>0.15</v>
      </c>
      <c r="D127" s="121">
        <f>B127*C127</f>
        <v>120</v>
      </c>
      <c r="E127" s="30"/>
    </row>
    <row r="128" spans="1:5" x14ac:dyDescent="0.2">
      <c r="A128" s="131" t="s">
        <v>94</v>
      </c>
      <c r="B128" s="189">
        <v>500</v>
      </c>
      <c r="C128" s="295">
        <v>0.15</v>
      </c>
      <c r="D128" s="122">
        <f t="shared" ref="D128:D129" si="3">B128*C128</f>
        <v>75</v>
      </c>
      <c r="E128" s="30"/>
    </row>
    <row r="129" spans="1:5" x14ac:dyDescent="0.2">
      <c r="A129" s="131" t="s">
        <v>95</v>
      </c>
      <c r="B129" s="189">
        <v>100</v>
      </c>
      <c r="C129" s="295">
        <v>0.15</v>
      </c>
      <c r="D129" s="122">
        <f t="shared" si="3"/>
        <v>15</v>
      </c>
      <c r="E129" s="30"/>
    </row>
    <row r="130" spans="1:5" x14ac:dyDescent="0.2">
      <c r="D130" s="117"/>
    </row>
    <row r="131" spans="1:5" x14ac:dyDescent="0.2">
      <c r="C131" s="15" t="s">
        <v>175</v>
      </c>
      <c r="D131" s="120">
        <f>SUM(D127:D130)</f>
        <v>210</v>
      </c>
    </row>
    <row r="132" spans="1:5" x14ac:dyDescent="0.2">
      <c r="C132" s="15"/>
      <c r="D132" s="157"/>
    </row>
    <row r="133" spans="1:5" x14ac:dyDescent="0.2">
      <c r="B133" s="73" t="s">
        <v>104</v>
      </c>
      <c r="D133" s="115">
        <f>+'.1 Cover'!G32</f>
        <v>1661</v>
      </c>
    </row>
    <row r="134" spans="1:5" ht="12" thickBot="1" x14ac:dyDescent="0.25">
      <c r="B134" s="15" t="s">
        <v>176</v>
      </c>
      <c r="C134" s="34"/>
      <c r="D134" s="116">
        <f>IFERROR(+D131/D133,0)</f>
        <v>0.12642986152919927</v>
      </c>
      <c r="E134" s="19" t="s">
        <v>102</v>
      </c>
    </row>
    <row r="135" spans="1:5" ht="12" thickTop="1" x14ac:dyDescent="0.2">
      <c r="B135" s="15"/>
      <c r="C135" s="34"/>
      <c r="D135" s="161"/>
    </row>
    <row r="136" spans="1:5" ht="45" x14ac:dyDescent="0.2">
      <c r="A136" s="130" t="s">
        <v>75</v>
      </c>
      <c r="B136" s="16" t="s">
        <v>3</v>
      </c>
      <c r="C136" s="33" t="s">
        <v>18</v>
      </c>
      <c r="D136" s="16" t="s">
        <v>17</v>
      </c>
    </row>
    <row r="137" spans="1:5" x14ac:dyDescent="0.2">
      <c r="A137" s="79" t="s">
        <v>97</v>
      </c>
      <c r="B137" s="212" t="str">
        <f>'.1 Cover'!A33</f>
        <v>Test #5</v>
      </c>
      <c r="C137" s="214"/>
      <c r="D137" s="214"/>
    </row>
    <row r="138" spans="1:5" x14ac:dyDescent="0.2">
      <c r="A138" s="131" t="s">
        <v>93</v>
      </c>
      <c r="B138" s="189">
        <v>800</v>
      </c>
      <c r="C138" s="134">
        <v>0.15</v>
      </c>
      <c r="D138" s="121">
        <f>B138*C138</f>
        <v>120</v>
      </c>
      <c r="E138" s="30"/>
    </row>
    <row r="139" spans="1:5" x14ac:dyDescent="0.2">
      <c r="A139" s="131" t="s">
        <v>94</v>
      </c>
      <c r="B139" s="189">
        <v>500</v>
      </c>
      <c r="C139" s="295">
        <v>0.15</v>
      </c>
      <c r="D139" s="122">
        <f t="shared" ref="D139:D140" si="4">B139*C139</f>
        <v>75</v>
      </c>
      <c r="E139" s="30"/>
    </row>
    <row r="140" spans="1:5" x14ac:dyDescent="0.2">
      <c r="A140" s="131" t="s">
        <v>95</v>
      </c>
      <c r="B140" s="189">
        <v>100</v>
      </c>
      <c r="C140" s="295">
        <v>0.15</v>
      </c>
      <c r="D140" s="122">
        <f t="shared" si="4"/>
        <v>15</v>
      </c>
      <c r="E140" s="30"/>
    </row>
    <row r="141" spans="1:5" x14ac:dyDescent="0.2">
      <c r="D141" s="117"/>
    </row>
    <row r="142" spans="1:5" x14ac:dyDescent="0.2">
      <c r="C142" s="15" t="s">
        <v>175</v>
      </c>
      <c r="D142" s="120">
        <f>SUM(D138:D141)</f>
        <v>210</v>
      </c>
    </row>
    <row r="143" spans="1:5" x14ac:dyDescent="0.2">
      <c r="C143" s="15"/>
      <c r="D143" s="157"/>
    </row>
    <row r="144" spans="1:5" x14ac:dyDescent="0.2">
      <c r="B144" s="73" t="s">
        <v>104</v>
      </c>
      <c r="D144" s="115">
        <f>+'.1 Cover'!G33</f>
        <v>2400</v>
      </c>
    </row>
    <row r="145" spans="1:5" ht="12" thickBot="1" x14ac:dyDescent="0.25">
      <c r="B145" s="15" t="s">
        <v>176</v>
      </c>
      <c r="C145" s="34"/>
      <c r="D145" s="116">
        <f>IFERROR(+D142/D144,0)</f>
        <v>8.7499999999999994E-2</v>
      </c>
      <c r="E145" s="19" t="s">
        <v>102</v>
      </c>
    </row>
    <row r="146" spans="1:5" ht="12" thickTop="1" x14ac:dyDescent="0.2">
      <c r="B146" s="15"/>
      <c r="C146" s="34"/>
      <c r="D146" s="161"/>
    </row>
    <row r="147" spans="1:5" ht="45" x14ac:dyDescent="0.2">
      <c r="A147" s="130" t="s">
        <v>75</v>
      </c>
      <c r="B147" s="16" t="s">
        <v>3</v>
      </c>
      <c r="C147" s="33" t="s">
        <v>18</v>
      </c>
      <c r="D147" s="16" t="s">
        <v>17</v>
      </c>
    </row>
    <row r="148" spans="1:5" x14ac:dyDescent="0.2">
      <c r="A148" s="79" t="s">
        <v>97</v>
      </c>
      <c r="B148" s="212" t="str">
        <f>'.1 Cover'!A34</f>
        <v>Test #6</v>
      </c>
      <c r="C148" s="214"/>
      <c r="D148" s="214"/>
    </row>
    <row r="149" spans="1:5" x14ac:dyDescent="0.2">
      <c r="A149" s="131" t="s">
        <v>93</v>
      </c>
      <c r="B149" s="189">
        <v>800</v>
      </c>
      <c r="C149" s="134">
        <v>0.15</v>
      </c>
      <c r="D149" s="121">
        <f>B149*C149</f>
        <v>120</v>
      </c>
      <c r="E149" s="30"/>
    </row>
    <row r="150" spans="1:5" x14ac:dyDescent="0.2">
      <c r="A150" s="131" t="s">
        <v>94</v>
      </c>
      <c r="B150" s="189">
        <v>500</v>
      </c>
      <c r="C150" s="295">
        <v>0.15</v>
      </c>
      <c r="D150" s="122">
        <f t="shared" ref="D150:D151" si="5">B150*C150</f>
        <v>75</v>
      </c>
      <c r="E150" s="30"/>
    </row>
    <row r="151" spans="1:5" x14ac:dyDescent="0.2">
      <c r="A151" s="131" t="s">
        <v>95</v>
      </c>
      <c r="B151" s="189">
        <v>100</v>
      </c>
      <c r="C151" s="295">
        <v>0.15</v>
      </c>
      <c r="D151" s="122">
        <f t="shared" si="5"/>
        <v>15</v>
      </c>
      <c r="E151" s="30"/>
    </row>
    <row r="152" spans="1:5" x14ac:dyDescent="0.2">
      <c r="D152" s="117"/>
    </row>
    <row r="153" spans="1:5" x14ac:dyDescent="0.2">
      <c r="C153" s="15" t="s">
        <v>175</v>
      </c>
      <c r="D153" s="120">
        <f>SUM(D149:D152)</f>
        <v>210</v>
      </c>
    </row>
    <row r="154" spans="1:5" x14ac:dyDescent="0.2">
      <c r="C154" s="15"/>
      <c r="D154" s="157"/>
    </row>
    <row r="155" spans="1:5" x14ac:dyDescent="0.2">
      <c r="B155" s="73" t="s">
        <v>104</v>
      </c>
      <c r="D155" s="115">
        <f>+'.1 Cover'!G34</f>
        <v>410</v>
      </c>
    </row>
    <row r="156" spans="1:5" ht="12" thickBot="1" x14ac:dyDescent="0.25">
      <c r="B156" s="15" t="s">
        <v>176</v>
      </c>
      <c r="C156" s="34"/>
      <c r="D156" s="116">
        <f>IFERROR(+D153/D155,0)</f>
        <v>0.51219512195121952</v>
      </c>
      <c r="E156" s="19" t="s">
        <v>102</v>
      </c>
    </row>
    <row r="157" spans="1:5" ht="12" thickTop="1" x14ac:dyDescent="0.2">
      <c r="B157" s="15"/>
      <c r="C157" s="34"/>
      <c r="D157" s="161"/>
    </row>
    <row r="158" spans="1:5" ht="45" x14ac:dyDescent="0.2">
      <c r="A158" s="130" t="s">
        <v>75</v>
      </c>
      <c r="B158" s="16" t="s">
        <v>3</v>
      </c>
      <c r="C158" s="33" t="s">
        <v>18</v>
      </c>
      <c r="D158" s="16" t="s">
        <v>17</v>
      </c>
    </row>
    <row r="159" spans="1:5" x14ac:dyDescent="0.2">
      <c r="A159" s="79" t="s">
        <v>97</v>
      </c>
      <c r="B159" s="212" t="str">
        <f>'.1 Cover'!A35</f>
        <v>Test #7</v>
      </c>
      <c r="C159" s="214"/>
      <c r="D159" s="214"/>
    </row>
    <row r="160" spans="1:5" x14ac:dyDescent="0.2">
      <c r="A160" s="131" t="s">
        <v>93</v>
      </c>
      <c r="B160" s="189">
        <v>800</v>
      </c>
      <c r="C160" s="134">
        <v>0.15</v>
      </c>
      <c r="D160" s="121">
        <f>B160*C160</f>
        <v>120</v>
      </c>
      <c r="E160" s="30"/>
    </row>
    <row r="161" spans="1:5" x14ac:dyDescent="0.2">
      <c r="A161" s="131" t="s">
        <v>94</v>
      </c>
      <c r="B161" s="189">
        <v>500</v>
      </c>
      <c r="C161" s="295">
        <v>0.15</v>
      </c>
      <c r="D161" s="122">
        <f t="shared" ref="D161:D162" si="6">B161*C161</f>
        <v>75</v>
      </c>
      <c r="E161" s="30"/>
    </row>
    <row r="162" spans="1:5" x14ac:dyDescent="0.2">
      <c r="A162" s="131" t="s">
        <v>95</v>
      </c>
      <c r="B162" s="189">
        <v>100</v>
      </c>
      <c r="C162" s="295">
        <v>0.15</v>
      </c>
      <c r="D162" s="122">
        <f t="shared" si="6"/>
        <v>15</v>
      </c>
      <c r="E162" s="30"/>
    </row>
    <row r="163" spans="1:5" x14ac:dyDescent="0.2">
      <c r="D163" s="117"/>
    </row>
    <row r="164" spans="1:5" x14ac:dyDescent="0.2">
      <c r="C164" s="15" t="s">
        <v>175</v>
      </c>
      <c r="D164" s="120">
        <f>SUM(D160:D163)</f>
        <v>210</v>
      </c>
    </row>
    <row r="165" spans="1:5" x14ac:dyDescent="0.2">
      <c r="C165" s="15"/>
      <c r="D165" s="157"/>
    </row>
    <row r="166" spans="1:5" x14ac:dyDescent="0.2">
      <c r="B166" s="73" t="s">
        <v>104</v>
      </c>
      <c r="D166" s="115">
        <f>+'.1 Cover'!G35</f>
        <v>85</v>
      </c>
    </row>
    <row r="167" spans="1:5" ht="12" thickBot="1" x14ac:dyDescent="0.25">
      <c r="B167" s="15" t="s">
        <v>176</v>
      </c>
      <c r="C167" s="34"/>
      <c r="D167" s="116">
        <f>IFERROR(+D164/D166,0)</f>
        <v>2.4705882352941178</v>
      </c>
      <c r="E167" s="19" t="s">
        <v>102</v>
      </c>
    </row>
    <row r="168" spans="1:5" ht="12" thickTop="1" x14ac:dyDescent="0.2"/>
    <row r="169" spans="1:5" ht="45" x14ac:dyDescent="0.2">
      <c r="A169" s="130" t="s">
        <v>75</v>
      </c>
      <c r="B169" s="16" t="s">
        <v>3</v>
      </c>
      <c r="C169" s="33" t="s">
        <v>18</v>
      </c>
      <c r="D169" s="16" t="s">
        <v>17</v>
      </c>
    </row>
    <row r="170" spans="1:5" x14ac:dyDescent="0.2">
      <c r="A170" s="79" t="s">
        <v>97</v>
      </c>
      <c r="B170" s="212" t="str">
        <f>'.1 Cover'!A36</f>
        <v>Test #8</v>
      </c>
      <c r="C170" s="214"/>
      <c r="D170" s="214"/>
    </row>
    <row r="171" spans="1:5" x14ac:dyDescent="0.2">
      <c r="A171" s="131" t="s">
        <v>93</v>
      </c>
      <c r="B171" s="189">
        <v>800</v>
      </c>
      <c r="C171" s="134">
        <v>0.15</v>
      </c>
      <c r="D171" s="121">
        <f>B171*C171</f>
        <v>120</v>
      </c>
      <c r="E171" s="30"/>
    </row>
    <row r="172" spans="1:5" x14ac:dyDescent="0.2">
      <c r="A172" s="131" t="s">
        <v>94</v>
      </c>
      <c r="B172" s="189">
        <v>500</v>
      </c>
      <c r="C172" s="295">
        <v>0.15</v>
      </c>
      <c r="D172" s="122">
        <f t="shared" ref="D172:D173" si="7">B172*C172</f>
        <v>75</v>
      </c>
      <c r="E172" s="30"/>
    </row>
    <row r="173" spans="1:5" x14ac:dyDescent="0.2">
      <c r="A173" s="131" t="s">
        <v>95</v>
      </c>
      <c r="B173" s="189">
        <v>100</v>
      </c>
      <c r="C173" s="295">
        <v>0.15</v>
      </c>
      <c r="D173" s="122">
        <f t="shared" si="7"/>
        <v>15</v>
      </c>
      <c r="E173" s="30"/>
    </row>
    <row r="174" spans="1:5" x14ac:dyDescent="0.2">
      <c r="D174" s="117"/>
    </row>
    <row r="175" spans="1:5" x14ac:dyDescent="0.2">
      <c r="C175" s="15" t="s">
        <v>175</v>
      </c>
      <c r="D175" s="120">
        <f>SUM(D171:D174)</f>
        <v>210</v>
      </c>
    </row>
    <row r="176" spans="1:5" x14ac:dyDescent="0.2">
      <c r="C176" s="15"/>
      <c r="D176" s="157"/>
    </row>
    <row r="177" spans="2:5" x14ac:dyDescent="0.2">
      <c r="B177" s="73" t="s">
        <v>104</v>
      </c>
      <c r="D177" s="115">
        <f>+'.1 Cover'!G36</f>
        <v>2375</v>
      </c>
    </row>
    <row r="178" spans="2:5" ht="12" thickBot="1" x14ac:dyDescent="0.25">
      <c r="B178" s="15" t="s">
        <v>176</v>
      </c>
      <c r="C178" s="34"/>
      <c r="D178" s="116">
        <f>IFERROR(+D175/D177,0)</f>
        <v>8.8421052631578942E-2</v>
      </c>
      <c r="E178" s="19" t="s">
        <v>102</v>
      </c>
    </row>
    <row r="179" spans="2:5" ht="12" thickTop="1" x14ac:dyDescent="0.2"/>
    <row r="181" spans="2:5" ht="13.5" thickBot="1" x14ac:dyDescent="0.25">
      <c r="B181" s="230" t="s">
        <v>177</v>
      </c>
      <c r="D181" s="119">
        <f>+D111+D100+D122+D133+D144+D155+D166+D177</f>
        <v>32069</v>
      </c>
    </row>
    <row r="182" spans="2:5" ht="14.25" thickTop="1" thickBot="1" x14ac:dyDescent="0.25">
      <c r="B182" s="81" t="s">
        <v>171</v>
      </c>
      <c r="D182" s="231">
        <f>+D109+D98+D120+D131+D142+D153+D164+D175</f>
        <v>2110</v>
      </c>
      <c r="E182" s="19" t="s">
        <v>181</v>
      </c>
    </row>
    <row r="183" spans="2:5" ht="12" thickTop="1" x14ac:dyDescent="0.2"/>
    <row r="184" spans="2:5" x14ac:dyDescent="0.2">
      <c r="C184" s="167"/>
      <c r="D184" s="123"/>
      <c r="E184" s="160"/>
    </row>
    <row r="185" spans="2:5" x14ac:dyDescent="0.2">
      <c r="C185" s="167"/>
      <c r="D185" s="123"/>
      <c r="E185" s="160"/>
    </row>
    <row r="186" spans="2:5" x14ac:dyDescent="0.2">
      <c r="C186" s="167"/>
      <c r="D186" s="123"/>
      <c r="E186" s="160"/>
    </row>
    <row r="187" spans="2:5" x14ac:dyDescent="0.2">
      <c r="D187" s="172"/>
    </row>
  </sheetData>
  <mergeCells count="2">
    <mergeCell ref="A3:D3"/>
    <mergeCell ref="A90:D90"/>
  </mergeCells>
  <pageMargins left="0.75" right="0.75" top="1" bottom="1"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pageSetUpPr fitToPage="1"/>
  </sheetPr>
  <dimension ref="A1:G94"/>
  <sheetViews>
    <sheetView showGridLines="0" zoomScale="106" zoomScaleNormal="106" workbookViewId="0">
      <selection activeCell="K21" sqref="K21"/>
    </sheetView>
  </sheetViews>
  <sheetFormatPr defaultRowHeight="11.25" x14ac:dyDescent="0.2"/>
  <cols>
    <col min="1" max="1" width="32.6640625" customWidth="1"/>
    <col min="2" max="2" width="11.1640625" customWidth="1"/>
    <col min="4" max="4" width="13.6640625" customWidth="1"/>
  </cols>
  <sheetData>
    <row r="1" spans="1:6" ht="12" x14ac:dyDescent="0.2">
      <c r="A1" s="17"/>
      <c r="D1" s="25"/>
      <c r="E1" s="19" t="s">
        <v>4</v>
      </c>
    </row>
    <row r="2" spans="1:6" ht="12" x14ac:dyDescent="0.2">
      <c r="A2" s="18"/>
      <c r="D2" s="25"/>
    </row>
    <row r="3" spans="1:6" ht="12.75" x14ac:dyDescent="0.2">
      <c r="A3" s="282" t="s">
        <v>16</v>
      </c>
      <c r="B3" s="282"/>
      <c r="C3" s="282"/>
      <c r="D3" s="282"/>
      <c r="E3" s="282"/>
      <c r="F3" s="50"/>
    </row>
    <row r="4" spans="1:6" x14ac:dyDescent="0.2">
      <c r="A4" s="11" t="s">
        <v>21</v>
      </c>
      <c r="D4" s="25"/>
    </row>
    <row r="5" spans="1:6" x14ac:dyDescent="0.2">
      <c r="A5" s="98" t="s">
        <v>6</v>
      </c>
      <c r="D5" s="25"/>
    </row>
    <row r="6" spans="1:6" x14ac:dyDescent="0.2">
      <c r="D6" s="25"/>
    </row>
    <row r="9" spans="1:6" ht="12.75" x14ac:dyDescent="0.2">
      <c r="A9" s="279" t="s">
        <v>14</v>
      </c>
      <c r="B9" s="280"/>
      <c r="C9" s="280"/>
      <c r="D9" s="281"/>
    </row>
    <row r="10" spans="1:6" x14ac:dyDescent="0.2">
      <c r="C10" s="15"/>
      <c r="D10" s="157"/>
    </row>
    <row r="11" spans="1:6" ht="45" x14ac:dyDescent="0.2">
      <c r="A11" s="130" t="s">
        <v>75</v>
      </c>
      <c r="B11" s="16" t="s">
        <v>3</v>
      </c>
      <c r="C11" s="33" t="s">
        <v>18</v>
      </c>
      <c r="D11" s="16" t="s">
        <v>17</v>
      </c>
    </row>
    <row r="12" spans="1:6" x14ac:dyDescent="0.2">
      <c r="A12" s="79" t="s">
        <v>97</v>
      </c>
      <c r="B12" s="212" t="str">
        <f>'.1 Cover'!$A$29</f>
        <v>Test #1</v>
      </c>
      <c r="C12" s="214"/>
      <c r="D12" s="214"/>
    </row>
    <row r="13" spans="1:6" x14ac:dyDescent="0.2">
      <c r="A13" s="131" t="s">
        <v>93</v>
      </c>
      <c r="B13" s="189">
        <v>1500</v>
      </c>
      <c r="C13" s="134">
        <v>0.4</v>
      </c>
      <c r="D13" s="121">
        <f>B13*C13</f>
        <v>600</v>
      </c>
      <c r="E13" s="30"/>
    </row>
    <row r="14" spans="1:6" x14ac:dyDescent="0.2">
      <c r="A14" s="131"/>
      <c r="B14" s="133"/>
      <c r="C14" s="132"/>
      <c r="D14" s="122">
        <f>B14*C14</f>
        <v>0</v>
      </c>
      <c r="E14" s="30"/>
    </row>
    <row r="15" spans="1:6" x14ac:dyDescent="0.2">
      <c r="D15" s="117"/>
    </row>
    <row r="16" spans="1:6" x14ac:dyDescent="0.2">
      <c r="C16" s="15" t="s">
        <v>19</v>
      </c>
      <c r="D16" s="120">
        <f>SUM(D13:D15)</f>
        <v>600</v>
      </c>
    </row>
    <row r="17" spans="1:7" x14ac:dyDescent="0.2">
      <c r="C17" s="15"/>
      <c r="D17" s="157"/>
    </row>
    <row r="18" spans="1:7" x14ac:dyDescent="0.2">
      <c r="B18" s="73" t="s">
        <v>104</v>
      </c>
      <c r="D18" s="115">
        <f>+'.1 Cover'!G29</f>
        <v>12441</v>
      </c>
    </row>
    <row r="19" spans="1:7" ht="12" thickBot="1" x14ac:dyDescent="0.25">
      <c r="B19" s="15" t="s">
        <v>178</v>
      </c>
      <c r="C19" s="34"/>
      <c r="D19" s="116">
        <f>IFERROR(+D16/D18,0)</f>
        <v>4.8227634434530986E-2</v>
      </c>
      <c r="E19" s="19" t="s">
        <v>102</v>
      </c>
    </row>
    <row r="20" spans="1:7" ht="12" thickTop="1" x14ac:dyDescent="0.2">
      <c r="B20" s="184"/>
      <c r="C20" s="34"/>
      <c r="D20" s="161"/>
      <c r="E20" s="19"/>
    </row>
    <row r="21" spans="1:7" ht="45" x14ac:dyDescent="0.2">
      <c r="A21" s="130" t="s">
        <v>75</v>
      </c>
      <c r="B21" s="2" t="s">
        <v>3</v>
      </c>
      <c r="C21" s="33" t="s">
        <v>18</v>
      </c>
      <c r="D21" s="16" t="s">
        <v>17</v>
      </c>
    </row>
    <row r="22" spans="1:7" x14ac:dyDescent="0.2">
      <c r="A22" s="79" t="s">
        <v>97</v>
      </c>
      <c r="B22" s="212" t="str">
        <f>'.1 Cover'!$A$30</f>
        <v>Test #2</v>
      </c>
      <c r="C22" s="214"/>
      <c r="D22" s="214"/>
    </row>
    <row r="23" spans="1:7" x14ac:dyDescent="0.2">
      <c r="A23" s="131" t="s">
        <v>93</v>
      </c>
      <c r="B23" s="189">
        <v>1500</v>
      </c>
      <c r="C23" s="134">
        <v>0.4</v>
      </c>
      <c r="D23" s="121">
        <f>B23*C23</f>
        <v>600</v>
      </c>
      <c r="E23" s="30"/>
      <c r="F23" s="30"/>
      <c r="G23" s="30"/>
    </row>
    <row r="24" spans="1:7" x14ac:dyDescent="0.2">
      <c r="A24" s="131"/>
      <c r="B24" s="133"/>
      <c r="C24" s="132"/>
      <c r="D24" s="122">
        <f>B24*C24</f>
        <v>0</v>
      </c>
      <c r="E24" s="30"/>
      <c r="F24" s="30"/>
      <c r="G24" s="30"/>
    </row>
    <row r="25" spans="1:7" x14ac:dyDescent="0.2">
      <c r="D25" s="117"/>
    </row>
    <row r="26" spans="1:7" x14ac:dyDescent="0.2">
      <c r="C26" s="15" t="s">
        <v>19</v>
      </c>
      <c r="D26" s="120">
        <f>SUM(D23:D25)</f>
        <v>600</v>
      </c>
    </row>
    <row r="27" spans="1:7" x14ac:dyDescent="0.2">
      <c r="C27" s="15"/>
      <c r="D27" s="157"/>
    </row>
    <row r="28" spans="1:7" x14ac:dyDescent="0.2">
      <c r="B28" s="73" t="s">
        <v>104</v>
      </c>
      <c r="D28" s="115">
        <f>+'.1 Cover'!G30</f>
        <v>7911</v>
      </c>
    </row>
    <row r="29" spans="1:7" ht="12" thickBot="1" x14ac:dyDescent="0.25">
      <c r="B29" s="15" t="s">
        <v>178</v>
      </c>
      <c r="C29" s="34"/>
      <c r="D29" s="116">
        <f>IFERROR(+D26/D28,0)</f>
        <v>7.584376185058779E-2</v>
      </c>
      <c r="E29" s="19" t="s">
        <v>102</v>
      </c>
    </row>
    <row r="30" spans="1:7" ht="12" thickTop="1" x14ac:dyDescent="0.2">
      <c r="B30" s="15"/>
      <c r="C30" s="34"/>
      <c r="D30" s="161"/>
    </row>
    <row r="31" spans="1:7" ht="45" x14ac:dyDescent="0.2">
      <c r="A31" s="130" t="s">
        <v>75</v>
      </c>
      <c r="B31" s="16" t="s">
        <v>3</v>
      </c>
      <c r="C31" s="33" t="s">
        <v>18</v>
      </c>
      <c r="D31" s="16" t="s">
        <v>17</v>
      </c>
    </row>
    <row r="32" spans="1:7" x14ac:dyDescent="0.2">
      <c r="A32" s="79" t="s">
        <v>97</v>
      </c>
      <c r="B32" s="212" t="str">
        <f>'.1 Cover'!$A$31</f>
        <v>Test #3</v>
      </c>
      <c r="C32" s="214"/>
      <c r="D32" s="214"/>
    </row>
    <row r="33" spans="1:5" x14ac:dyDescent="0.2">
      <c r="A33" s="131" t="s">
        <v>93</v>
      </c>
      <c r="B33" s="189">
        <v>1500</v>
      </c>
      <c r="C33" s="134">
        <v>0.4</v>
      </c>
      <c r="D33" s="121">
        <f>B33*C33</f>
        <v>600</v>
      </c>
      <c r="E33" s="30"/>
    </row>
    <row r="34" spans="1:5" x14ac:dyDescent="0.2">
      <c r="A34" s="131"/>
      <c r="B34" s="133"/>
      <c r="C34" s="132"/>
      <c r="D34" s="122">
        <f>B34*C34</f>
        <v>0</v>
      </c>
    </row>
    <row r="35" spans="1:5" x14ac:dyDescent="0.2">
      <c r="D35" s="117"/>
    </row>
    <row r="36" spans="1:5" x14ac:dyDescent="0.2">
      <c r="C36" s="15" t="s">
        <v>19</v>
      </c>
      <c r="D36" s="120">
        <f>SUM(D33:D35)</f>
        <v>600</v>
      </c>
    </row>
    <row r="37" spans="1:5" x14ac:dyDescent="0.2">
      <c r="C37" s="15"/>
      <c r="D37" s="157"/>
    </row>
    <row r="38" spans="1:5" x14ac:dyDescent="0.2">
      <c r="B38" s="73" t="s">
        <v>104</v>
      </c>
      <c r="D38" s="115">
        <f>+'.1 Cover'!G31</f>
        <v>4786</v>
      </c>
    </row>
    <row r="39" spans="1:5" ht="12" thickBot="1" x14ac:dyDescent="0.25">
      <c r="B39" s="15" t="s">
        <v>178</v>
      </c>
      <c r="C39" s="34"/>
      <c r="D39" s="116">
        <f>IFERROR(+D36/D38,0)</f>
        <v>0.12536564981195153</v>
      </c>
      <c r="E39" s="19" t="s">
        <v>102</v>
      </c>
    </row>
    <row r="40" spans="1:5" ht="12" thickTop="1" x14ac:dyDescent="0.2">
      <c r="B40" s="15"/>
      <c r="C40" s="34"/>
      <c r="D40" s="161"/>
    </row>
    <row r="41" spans="1:5" ht="45" x14ac:dyDescent="0.2">
      <c r="A41" s="130" t="s">
        <v>75</v>
      </c>
      <c r="B41" s="16" t="s">
        <v>3</v>
      </c>
      <c r="C41" s="33" t="s">
        <v>18</v>
      </c>
      <c r="D41" s="16" t="s">
        <v>17</v>
      </c>
    </row>
    <row r="42" spans="1:5" x14ac:dyDescent="0.2">
      <c r="A42" s="79" t="s">
        <v>97</v>
      </c>
      <c r="B42" s="212" t="str">
        <f>'.1 Cover'!$A$32</f>
        <v>Test #4</v>
      </c>
      <c r="C42" s="214"/>
      <c r="D42" s="214"/>
    </row>
    <row r="43" spans="1:5" x14ac:dyDescent="0.2">
      <c r="A43" s="131" t="s">
        <v>93</v>
      </c>
      <c r="B43" s="189">
        <v>1500</v>
      </c>
      <c r="C43" s="134">
        <v>0.4</v>
      </c>
      <c r="D43" s="121">
        <f>B43*C43</f>
        <v>600</v>
      </c>
      <c r="E43" s="30"/>
    </row>
    <row r="44" spans="1:5" x14ac:dyDescent="0.2">
      <c r="A44" s="131"/>
      <c r="B44" s="133"/>
      <c r="C44" s="132"/>
      <c r="D44" s="122">
        <f>B44*C44</f>
        <v>0</v>
      </c>
    </row>
    <row r="45" spans="1:5" x14ac:dyDescent="0.2">
      <c r="D45" s="117"/>
    </row>
    <row r="46" spans="1:5" x14ac:dyDescent="0.2">
      <c r="C46" s="15" t="s">
        <v>19</v>
      </c>
      <c r="D46" s="120">
        <f>SUM(D43:D45)</f>
        <v>600</v>
      </c>
    </row>
    <row r="47" spans="1:5" x14ac:dyDescent="0.2">
      <c r="C47" s="15"/>
      <c r="D47" s="157"/>
    </row>
    <row r="48" spans="1:5" x14ac:dyDescent="0.2">
      <c r="B48" s="73" t="s">
        <v>104</v>
      </c>
      <c r="D48" s="115">
        <f>+'.1 Cover'!G32</f>
        <v>1661</v>
      </c>
    </row>
    <row r="49" spans="1:5" ht="12" thickBot="1" x14ac:dyDescent="0.25">
      <c r="B49" s="15" t="s">
        <v>178</v>
      </c>
      <c r="C49" s="34"/>
      <c r="D49" s="116">
        <f>IFERROR(+D46/D48,0)</f>
        <v>0.36122817579771221</v>
      </c>
      <c r="E49" s="19" t="s">
        <v>102</v>
      </c>
    </row>
    <row r="50" spans="1:5" ht="12" thickTop="1" x14ac:dyDescent="0.2">
      <c r="B50" s="15"/>
      <c r="C50" s="34"/>
      <c r="D50" s="161"/>
    </row>
    <row r="51" spans="1:5" ht="45" x14ac:dyDescent="0.2">
      <c r="A51" s="130" t="s">
        <v>75</v>
      </c>
      <c r="B51" s="16" t="s">
        <v>3</v>
      </c>
      <c r="C51" s="33" t="s">
        <v>18</v>
      </c>
      <c r="D51" s="16" t="s">
        <v>17</v>
      </c>
    </row>
    <row r="52" spans="1:5" x14ac:dyDescent="0.2">
      <c r="A52" s="79" t="s">
        <v>97</v>
      </c>
      <c r="B52" s="212" t="str">
        <f>'.1 Cover'!$A$33</f>
        <v>Test #5</v>
      </c>
      <c r="C52" s="214"/>
      <c r="D52" s="214"/>
    </row>
    <row r="53" spans="1:5" x14ac:dyDescent="0.2">
      <c r="A53" s="131" t="s">
        <v>93</v>
      </c>
      <c r="B53" s="189">
        <v>1500</v>
      </c>
      <c r="C53" s="134">
        <v>0.4</v>
      </c>
      <c r="D53" s="121">
        <f>B53*C53</f>
        <v>600</v>
      </c>
      <c r="E53" s="30"/>
    </row>
    <row r="54" spans="1:5" x14ac:dyDescent="0.2">
      <c r="A54" s="131"/>
      <c r="B54" s="133"/>
      <c r="C54" s="132"/>
      <c r="D54" s="122">
        <f>B54*C54</f>
        <v>0</v>
      </c>
    </row>
    <row r="55" spans="1:5" x14ac:dyDescent="0.2">
      <c r="D55" s="117"/>
    </row>
    <row r="56" spans="1:5" x14ac:dyDescent="0.2">
      <c r="C56" s="15" t="s">
        <v>19</v>
      </c>
      <c r="D56" s="120">
        <f>SUM(D53:D55)</f>
        <v>600</v>
      </c>
    </row>
    <row r="57" spans="1:5" x14ac:dyDescent="0.2">
      <c r="C57" s="15"/>
      <c r="D57" s="157"/>
    </row>
    <row r="58" spans="1:5" x14ac:dyDescent="0.2">
      <c r="B58" s="73" t="s">
        <v>104</v>
      </c>
      <c r="D58" s="115">
        <f>+'.1 Cover'!G33</f>
        <v>2400</v>
      </c>
    </row>
    <row r="59" spans="1:5" ht="12" thickBot="1" x14ac:dyDescent="0.25">
      <c r="B59" s="15" t="s">
        <v>178</v>
      </c>
      <c r="C59" s="34"/>
      <c r="D59" s="116">
        <f>IFERROR(+D56/D58,0)</f>
        <v>0.25</v>
      </c>
      <c r="E59" s="19" t="s">
        <v>102</v>
      </c>
    </row>
    <row r="60" spans="1:5" ht="12" thickTop="1" x14ac:dyDescent="0.2">
      <c r="B60" s="15"/>
      <c r="C60" s="34"/>
      <c r="D60" s="161"/>
    </row>
    <row r="61" spans="1:5" ht="45" x14ac:dyDescent="0.2">
      <c r="A61" s="130" t="s">
        <v>75</v>
      </c>
      <c r="B61" s="16" t="s">
        <v>3</v>
      </c>
      <c r="C61" s="33" t="s">
        <v>18</v>
      </c>
      <c r="D61" s="16" t="s">
        <v>17</v>
      </c>
    </row>
    <row r="62" spans="1:5" x14ac:dyDescent="0.2">
      <c r="A62" s="79" t="s">
        <v>97</v>
      </c>
      <c r="B62" s="212" t="str">
        <f>'.1 Cover'!$A$34</f>
        <v>Test #6</v>
      </c>
      <c r="C62" s="214"/>
      <c r="D62" s="214"/>
    </row>
    <row r="63" spans="1:5" x14ac:dyDescent="0.2">
      <c r="A63" s="131" t="s">
        <v>93</v>
      </c>
      <c r="B63" s="189">
        <v>1500</v>
      </c>
      <c r="C63" s="134">
        <v>0.4</v>
      </c>
      <c r="D63" s="121">
        <f>B63*C63</f>
        <v>600</v>
      </c>
      <c r="E63" s="30"/>
    </row>
    <row r="64" spans="1:5" x14ac:dyDescent="0.2">
      <c r="A64" s="131"/>
      <c r="B64" s="133"/>
      <c r="C64" s="132"/>
      <c r="D64" s="122">
        <f>B64*C64</f>
        <v>0</v>
      </c>
    </row>
    <row r="65" spans="1:5" x14ac:dyDescent="0.2">
      <c r="D65" s="117"/>
    </row>
    <row r="66" spans="1:5" x14ac:dyDescent="0.2">
      <c r="C66" s="15" t="s">
        <v>19</v>
      </c>
      <c r="D66" s="120">
        <f>SUM(D63:D65)</f>
        <v>600</v>
      </c>
    </row>
    <row r="67" spans="1:5" x14ac:dyDescent="0.2">
      <c r="C67" s="15"/>
      <c r="D67" s="157"/>
    </row>
    <row r="68" spans="1:5" x14ac:dyDescent="0.2">
      <c r="B68" s="73" t="s">
        <v>104</v>
      </c>
      <c r="D68" s="115">
        <f>+'.1 Cover'!G34</f>
        <v>410</v>
      </c>
    </row>
    <row r="69" spans="1:5" ht="12" thickBot="1" x14ac:dyDescent="0.25">
      <c r="B69" s="15" t="s">
        <v>178</v>
      </c>
      <c r="C69" s="34"/>
      <c r="D69" s="116">
        <f>IFERROR(+D66/D68,0)</f>
        <v>1.4634146341463414</v>
      </c>
      <c r="E69" s="19" t="s">
        <v>102</v>
      </c>
    </row>
    <row r="70" spans="1:5" ht="12" thickTop="1" x14ac:dyDescent="0.2">
      <c r="B70" s="15"/>
      <c r="C70" s="34"/>
      <c r="D70" s="161"/>
    </row>
    <row r="71" spans="1:5" ht="45" x14ac:dyDescent="0.2">
      <c r="A71" s="130" t="s">
        <v>75</v>
      </c>
      <c r="B71" s="16" t="s">
        <v>3</v>
      </c>
      <c r="C71" s="33" t="s">
        <v>18</v>
      </c>
      <c r="D71" s="16" t="s">
        <v>17</v>
      </c>
    </row>
    <row r="72" spans="1:5" x14ac:dyDescent="0.2">
      <c r="A72" s="79" t="s">
        <v>97</v>
      </c>
      <c r="B72" s="212" t="str">
        <f>'.1 Cover'!$A$35</f>
        <v>Test #7</v>
      </c>
      <c r="C72" s="214"/>
      <c r="D72" s="214"/>
    </row>
    <row r="73" spans="1:5" x14ac:dyDescent="0.2">
      <c r="A73" s="131" t="s">
        <v>93</v>
      </c>
      <c r="B73" s="189">
        <v>1500</v>
      </c>
      <c r="C73" s="134">
        <v>0.4</v>
      </c>
      <c r="D73" s="121">
        <f>B73*C73</f>
        <v>600</v>
      </c>
      <c r="E73" s="30"/>
    </row>
    <row r="74" spans="1:5" x14ac:dyDescent="0.2">
      <c r="A74" s="131"/>
      <c r="B74" s="133"/>
      <c r="C74" s="132"/>
      <c r="D74" s="122">
        <f>B74*C74</f>
        <v>0</v>
      </c>
    </row>
    <row r="75" spans="1:5" x14ac:dyDescent="0.2">
      <c r="D75" s="117"/>
    </row>
    <row r="76" spans="1:5" x14ac:dyDescent="0.2">
      <c r="C76" s="15" t="s">
        <v>19</v>
      </c>
      <c r="D76" s="120">
        <f>SUM(D73:D75)</f>
        <v>600</v>
      </c>
    </row>
    <row r="77" spans="1:5" x14ac:dyDescent="0.2">
      <c r="C77" s="15"/>
      <c r="D77" s="157"/>
    </row>
    <row r="78" spans="1:5" x14ac:dyDescent="0.2">
      <c r="B78" s="73" t="s">
        <v>104</v>
      </c>
      <c r="D78" s="115">
        <f>+'.1 Cover'!G35</f>
        <v>85</v>
      </c>
    </row>
    <row r="79" spans="1:5" ht="12" thickBot="1" x14ac:dyDescent="0.25">
      <c r="B79" s="15" t="s">
        <v>178</v>
      </c>
      <c r="C79" s="34"/>
      <c r="D79" s="116">
        <f>IFERROR(+D76/D78,0)</f>
        <v>7.0588235294117645</v>
      </c>
      <c r="E79" s="19" t="s">
        <v>102</v>
      </c>
    </row>
    <row r="80" spans="1:5" ht="12" thickTop="1" x14ac:dyDescent="0.2"/>
    <row r="81" spans="1:5" ht="45" x14ac:dyDescent="0.2">
      <c r="A81" s="130" t="s">
        <v>75</v>
      </c>
      <c r="B81" s="16" t="s">
        <v>3</v>
      </c>
      <c r="C81" s="33" t="s">
        <v>18</v>
      </c>
      <c r="D81" s="16" t="s">
        <v>17</v>
      </c>
    </row>
    <row r="82" spans="1:5" x14ac:dyDescent="0.2">
      <c r="A82" s="79" t="s">
        <v>97</v>
      </c>
      <c r="B82" s="212" t="str">
        <f>'.1 Cover'!$A$36</f>
        <v>Test #8</v>
      </c>
      <c r="C82" s="214"/>
      <c r="D82" s="214"/>
    </row>
    <row r="83" spans="1:5" x14ac:dyDescent="0.2">
      <c r="A83" s="131" t="s">
        <v>93</v>
      </c>
      <c r="B83" s="189">
        <v>1500</v>
      </c>
      <c r="C83" s="134">
        <v>0.4</v>
      </c>
      <c r="D83" s="121">
        <f>B83*C83</f>
        <v>600</v>
      </c>
      <c r="E83" s="30"/>
    </row>
    <row r="84" spans="1:5" x14ac:dyDescent="0.2">
      <c r="A84" s="131"/>
      <c r="B84" s="133"/>
      <c r="C84" s="132"/>
      <c r="D84" s="122">
        <f>B84*C84</f>
        <v>0</v>
      </c>
    </row>
    <row r="85" spans="1:5" x14ac:dyDescent="0.2">
      <c r="D85" s="117"/>
    </row>
    <row r="86" spans="1:5" x14ac:dyDescent="0.2">
      <c r="C86" s="15" t="s">
        <v>19</v>
      </c>
      <c r="D86" s="120">
        <f>SUM(D83:D85)</f>
        <v>600</v>
      </c>
    </row>
    <row r="87" spans="1:5" x14ac:dyDescent="0.2">
      <c r="C87" s="15"/>
      <c r="D87" s="157"/>
    </row>
    <row r="88" spans="1:5" x14ac:dyDescent="0.2">
      <c r="B88" s="73" t="s">
        <v>104</v>
      </c>
      <c r="D88" s="115">
        <f>+'.1 Cover'!G36</f>
        <v>2375</v>
      </c>
    </row>
    <row r="89" spans="1:5" ht="12" thickBot="1" x14ac:dyDescent="0.25">
      <c r="B89" s="15" t="s">
        <v>178</v>
      </c>
      <c r="C89" s="34"/>
      <c r="D89" s="116">
        <f>IFERROR(+D86/D88,0)</f>
        <v>0.25263157894736843</v>
      </c>
      <c r="E89" s="19" t="s">
        <v>102</v>
      </c>
    </row>
    <row r="90" spans="1:5" ht="12" thickTop="1" x14ac:dyDescent="0.2"/>
    <row r="92" spans="1:5" ht="13.5" thickBot="1" x14ac:dyDescent="0.25">
      <c r="B92" s="73" t="s">
        <v>99</v>
      </c>
      <c r="D92" s="119">
        <f>+D28+D18+D38+D48+D58+D68+D78+D88</f>
        <v>32069</v>
      </c>
    </row>
    <row r="93" spans="1:5" ht="14.25" thickTop="1" thickBot="1" x14ac:dyDescent="0.25">
      <c r="B93" s="15" t="s">
        <v>170</v>
      </c>
      <c r="D93" s="231">
        <f>+D26+D16+D36+D46+D56+D66+D76+D86</f>
        <v>4800</v>
      </c>
      <c r="E93" s="19" t="s">
        <v>181</v>
      </c>
    </row>
    <row r="94" spans="1:5" ht="12" thickTop="1" x14ac:dyDescent="0.2"/>
  </sheetData>
  <mergeCells count="2">
    <mergeCell ref="A9:D9"/>
    <mergeCell ref="A3:E3"/>
  </mergeCells>
  <phoneticPr fontId="0" type="noConversion"/>
  <pageMargins left="0.75" right="0.75" top="1" bottom="1" header="0.5" footer="0.5"/>
  <pageSetup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pageSetUpPr fitToPage="1"/>
  </sheetPr>
  <dimension ref="A1:Z56"/>
  <sheetViews>
    <sheetView showGridLines="0" tabSelected="1" topLeftCell="A6" workbookViewId="0">
      <selection activeCell="J32" sqref="J32"/>
    </sheetView>
  </sheetViews>
  <sheetFormatPr defaultColWidth="9.33203125" defaultRowHeight="11.25" x14ac:dyDescent="0.2"/>
  <cols>
    <col min="1" max="1" width="9.33203125" style="41"/>
    <col min="2" max="2" width="13.5" style="41" customWidth="1"/>
    <col min="3" max="3" width="6.1640625" style="41" customWidth="1"/>
    <col min="4" max="4" width="12.6640625" style="41" customWidth="1"/>
    <col min="5" max="7" width="9.33203125" style="41"/>
    <col min="8" max="8" width="20.6640625" style="41" customWidth="1"/>
    <col min="9" max="9" width="15.6640625" style="41" bestFit="1" customWidth="1"/>
    <col min="10" max="10" width="13.6640625" style="41" customWidth="1"/>
    <col min="11" max="11" width="11" style="41" customWidth="1"/>
    <col min="12" max="12" width="11.6640625" style="41" bestFit="1" customWidth="1"/>
    <col min="13" max="13" width="14.1640625" style="41" bestFit="1" customWidth="1"/>
    <col min="14" max="17" width="11.6640625" style="41" bestFit="1" customWidth="1"/>
    <col min="18" max="18" width="10.5" style="41" bestFit="1" customWidth="1"/>
    <col min="19" max="19" width="10.5" style="41" customWidth="1"/>
    <col min="20" max="20" width="10.5" style="41" bestFit="1" customWidth="1"/>
    <col min="21" max="21" width="11.6640625" style="41" bestFit="1" customWidth="1"/>
    <col min="22" max="22" width="11.1640625" style="41" bestFit="1" customWidth="1"/>
    <col min="23" max="16384" width="9.33203125" style="41"/>
  </cols>
  <sheetData>
    <row r="1" spans="1:12" ht="12.75" x14ac:dyDescent="0.2">
      <c r="A1" s="56" t="s">
        <v>27</v>
      </c>
      <c r="B1" s="56"/>
      <c r="C1" s="56"/>
      <c r="D1" s="56"/>
      <c r="E1" s="56"/>
      <c r="F1" s="56"/>
      <c r="G1" s="91"/>
      <c r="H1" s="91"/>
      <c r="I1" s="92"/>
      <c r="J1" s="92"/>
      <c r="L1" s="28" t="s">
        <v>28</v>
      </c>
    </row>
    <row r="2" spans="1:12" ht="12.75" x14ac:dyDescent="0.2">
      <c r="A2" s="28"/>
      <c r="B2" s="28"/>
      <c r="C2" s="28"/>
      <c r="D2" s="28"/>
      <c r="E2" s="28"/>
      <c r="F2" s="28"/>
      <c r="G2" s="28"/>
      <c r="H2" s="28"/>
      <c r="I2" s="28"/>
    </row>
    <row r="3" spans="1:12" s="26" customFormat="1" ht="32.25" customHeight="1" x14ac:dyDescent="0.2">
      <c r="A3" s="292" t="s">
        <v>29</v>
      </c>
      <c r="B3" s="292"/>
      <c r="C3" s="292"/>
      <c r="D3" s="292"/>
      <c r="E3" s="292"/>
      <c r="F3" s="292"/>
      <c r="G3" s="292"/>
      <c r="H3" s="292"/>
      <c r="I3" s="292"/>
    </row>
    <row r="4" spans="1:12" s="26" customFormat="1" ht="18.75" customHeight="1" x14ac:dyDescent="0.2">
      <c r="A4" s="104" t="s">
        <v>81</v>
      </c>
    </row>
    <row r="5" spans="1:12" s="26" customFormat="1" ht="60" customHeight="1" x14ac:dyDescent="0.2">
      <c r="A5" s="292" t="s">
        <v>82</v>
      </c>
      <c r="B5" s="292"/>
      <c r="C5" s="292"/>
      <c r="D5" s="292"/>
      <c r="E5" s="292"/>
      <c r="F5" s="292"/>
      <c r="G5" s="292"/>
      <c r="H5" s="292"/>
      <c r="I5" s="292"/>
    </row>
    <row r="6" spans="1:12" s="26" customFormat="1" ht="36.75" customHeight="1" x14ac:dyDescent="0.2">
      <c r="A6" s="292" t="s">
        <v>83</v>
      </c>
      <c r="B6" s="292"/>
      <c r="C6" s="292"/>
      <c r="D6" s="292"/>
      <c r="E6" s="292"/>
      <c r="F6" s="292"/>
      <c r="G6" s="292"/>
      <c r="H6" s="292"/>
      <c r="I6" s="292"/>
    </row>
    <row r="7" spans="1:12" s="26" customFormat="1" ht="25.5" customHeight="1" x14ac:dyDescent="0.2">
      <c r="A7" s="292" t="s">
        <v>30</v>
      </c>
      <c r="B7" s="292"/>
      <c r="C7" s="292"/>
      <c r="D7" s="292"/>
      <c r="E7" s="292"/>
      <c r="F7" s="292"/>
      <c r="G7" s="292"/>
      <c r="H7" s="292"/>
      <c r="I7" s="292"/>
    </row>
    <row r="8" spans="1:12" s="26" customFormat="1" ht="12.75" x14ac:dyDescent="0.2">
      <c r="A8" s="293" t="s">
        <v>36</v>
      </c>
      <c r="B8" s="293"/>
      <c r="C8" s="293"/>
      <c r="D8" s="293"/>
      <c r="E8" s="293"/>
      <c r="F8" s="293"/>
      <c r="G8" s="293"/>
      <c r="H8" s="293"/>
      <c r="I8" s="293"/>
    </row>
    <row r="9" spans="1:12" s="26" customFormat="1" ht="12.75" x14ac:dyDescent="0.2">
      <c r="A9" s="58"/>
      <c r="B9" s="58"/>
      <c r="C9" s="58"/>
      <c r="D9" s="58"/>
      <c r="E9" s="58"/>
      <c r="F9" s="58"/>
      <c r="G9" s="58"/>
      <c r="H9" s="58"/>
      <c r="I9" s="58"/>
    </row>
    <row r="10" spans="1:12" s="26" customFormat="1" ht="12.75" x14ac:dyDescent="0.2">
      <c r="A10" s="59" t="s">
        <v>61</v>
      </c>
      <c r="B10" s="58"/>
      <c r="C10" s="58"/>
      <c r="D10" s="58"/>
      <c r="E10" s="58"/>
      <c r="F10" s="58"/>
      <c r="G10" s="58"/>
      <c r="H10" s="58"/>
      <c r="I10" s="58"/>
    </row>
    <row r="11" spans="1:12" s="26" customFormat="1" ht="12.75" x14ac:dyDescent="0.2">
      <c r="A11" s="58"/>
      <c r="B11" s="58"/>
      <c r="C11" s="58"/>
      <c r="D11" s="58"/>
      <c r="E11" s="58"/>
      <c r="F11" s="58"/>
      <c r="G11" s="58"/>
      <c r="H11" s="58"/>
      <c r="I11" s="58"/>
    </row>
    <row r="12" spans="1:12" s="26" customFormat="1" ht="13.5" customHeight="1" x14ac:dyDescent="0.2">
      <c r="A12" s="59" t="s">
        <v>39</v>
      </c>
      <c r="B12" s="59"/>
      <c r="D12" s="58"/>
      <c r="F12" s="58"/>
      <c r="G12" s="58"/>
      <c r="H12" s="58"/>
      <c r="I12" s="58"/>
    </row>
    <row r="13" spans="1:12" s="26" customFormat="1" ht="2.25" customHeight="1" x14ac:dyDescent="0.2">
      <c r="A13" s="59"/>
      <c r="B13" s="59"/>
      <c r="D13" s="58"/>
      <c r="F13" s="58"/>
      <c r="G13" s="58"/>
      <c r="H13" s="58"/>
      <c r="I13" s="58"/>
    </row>
    <row r="14" spans="1:12" s="26" customFormat="1" ht="12.75" x14ac:dyDescent="0.2">
      <c r="A14" s="58" t="s">
        <v>37</v>
      </c>
      <c r="B14" s="198">
        <v>44378</v>
      </c>
      <c r="C14" s="58" t="s">
        <v>38</v>
      </c>
      <c r="D14" s="198">
        <v>44742</v>
      </c>
      <c r="E14" s="58"/>
      <c r="F14" s="58"/>
      <c r="G14" s="58"/>
      <c r="H14" s="58"/>
      <c r="I14" s="58"/>
    </row>
    <row r="15" spans="1:12" s="26" customFormat="1" ht="12.75" x14ac:dyDescent="0.2">
      <c r="A15" s="26" t="s">
        <v>72</v>
      </c>
    </row>
    <row r="16" spans="1:12" s="26" customFormat="1" ht="12.75" x14ac:dyDescent="0.2"/>
    <row r="17" spans="1:26" s="26" customFormat="1" ht="15" x14ac:dyDescent="0.25">
      <c r="A17" s="100" t="s">
        <v>80</v>
      </c>
    </row>
    <row r="18" spans="1:26" s="26" customFormat="1" ht="12.75" x14ac:dyDescent="0.2">
      <c r="I18" s="234" t="s">
        <v>2</v>
      </c>
    </row>
    <row r="19" spans="1:26" s="26" customFormat="1" ht="12.75" x14ac:dyDescent="0.2">
      <c r="A19" s="26" t="s">
        <v>31</v>
      </c>
      <c r="I19" s="204">
        <v>328059.09000000003</v>
      </c>
    </row>
    <row r="20" spans="1:26" s="26" customFormat="1" ht="12.75" x14ac:dyDescent="0.2">
      <c r="A20" s="26" t="s">
        <v>32</v>
      </c>
      <c r="I20" s="205">
        <v>-8842.3700000000008</v>
      </c>
      <c r="L20" s="166"/>
    </row>
    <row r="21" spans="1:26" s="26" customFormat="1" ht="12.75" x14ac:dyDescent="0.2">
      <c r="H21" s="40" t="s">
        <v>34</v>
      </c>
      <c r="I21" s="124">
        <f>SUM(I19:I20)</f>
        <v>319216.72000000003</v>
      </c>
    </row>
    <row r="22" spans="1:26" ht="12.75" x14ac:dyDescent="0.2">
      <c r="A22" s="26"/>
      <c r="I22" s="57"/>
      <c r="S22" s="26"/>
      <c r="T22" s="26"/>
      <c r="U22" s="26"/>
      <c r="V22" s="26"/>
      <c r="W22" s="26"/>
      <c r="X22" s="26"/>
      <c r="Y22" s="26"/>
      <c r="Z22" s="26"/>
    </row>
    <row r="23" spans="1:26" ht="15" x14ac:dyDescent="0.25">
      <c r="A23" s="100" t="s">
        <v>84</v>
      </c>
      <c r="S23" s="26"/>
      <c r="T23" s="26"/>
      <c r="U23" s="26"/>
      <c r="V23" s="26"/>
      <c r="W23" s="26"/>
      <c r="X23" s="26"/>
      <c r="Y23" s="26"/>
      <c r="Z23" s="26"/>
    </row>
    <row r="24" spans="1:26" s="26" customFormat="1" ht="38.25" x14ac:dyDescent="0.2">
      <c r="I24" s="234" t="s">
        <v>2</v>
      </c>
      <c r="M24" s="102" t="s">
        <v>182</v>
      </c>
    </row>
    <row r="25" spans="1:26" s="26" customFormat="1" ht="12.75" x14ac:dyDescent="0.2">
      <c r="A25" s="129" t="s">
        <v>86</v>
      </c>
      <c r="I25" s="204">
        <v>288097.08</v>
      </c>
      <c r="M25" s="232">
        <f>'.2 Direct &amp; Indirect Personnel'!G117</f>
        <v>270960</v>
      </c>
      <c r="N25" s="26" t="s">
        <v>183</v>
      </c>
    </row>
    <row r="26" spans="1:26" s="26" customFormat="1" ht="12.75" x14ac:dyDescent="0.2">
      <c r="I26" s="101"/>
      <c r="M26" s="232">
        <f>'.2 Direct &amp; Indirect Personnel'!G151</f>
        <v>59910.819000000003</v>
      </c>
      <c r="N26" s="26" t="s">
        <v>184</v>
      </c>
    </row>
    <row r="27" spans="1:26" s="26" customFormat="1" ht="12.75" x14ac:dyDescent="0.2">
      <c r="H27" s="40" t="s">
        <v>33</v>
      </c>
      <c r="I27" s="125">
        <f>SUM(I25:I26)</f>
        <v>288097.08</v>
      </c>
      <c r="M27" s="232">
        <f>'.3 Direct &amp; Indirect Costs'!D87</f>
        <v>2560</v>
      </c>
      <c r="N27" s="26" t="s">
        <v>185</v>
      </c>
    </row>
    <row r="28" spans="1:26" s="26" customFormat="1" ht="12.75" x14ac:dyDescent="0.2">
      <c r="I28" s="101"/>
      <c r="M28" s="232">
        <f>'.3 Direct &amp; Indirect Costs'!D182</f>
        <v>2110</v>
      </c>
      <c r="N28" s="26" t="s">
        <v>186</v>
      </c>
    </row>
    <row r="29" spans="1:26" s="26" customFormat="1" ht="12.75" x14ac:dyDescent="0.2">
      <c r="I29" s="101"/>
      <c r="M29" s="232">
        <f>'.4 Equipment Use Fee (Indirect)'!D93</f>
        <v>4800</v>
      </c>
      <c r="N29" s="26" t="s">
        <v>187</v>
      </c>
    </row>
    <row r="30" spans="1:26" s="26" customFormat="1" ht="12.75" x14ac:dyDescent="0.2">
      <c r="H30" s="40" t="s">
        <v>35</v>
      </c>
      <c r="I30" s="126">
        <f>I21-I27</f>
        <v>31119.640000000014</v>
      </c>
      <c r="M30" s="233">
        <f>SUM(M25:M29)</f>
        <v>340340.81900000002</v>
      </c>
      <c r="N30" s="26" t="s">
        <v>121</v>
      </c>
    </row>
    <row r="31" spans="1:26" s="26" customFormat="1" ht="39" customHeight="1" x14ac:dyDescent="0.2">
      <c r="A31" s="294" t="s">
        <v>87</v>
      </c>
      <c r="B31" s="294"/>
      <c r="C31" s="294"/>
      <c r="D31" s="294"/>
      <c r="E31" s="294"/>
      <c r="F31" s="294"/>
      <c r="G31" s="294"/>
      <c r="H31" s="294"/>
      <c r="I31" s="204">
        <v>36144.83</v>
      </c>
      <c r="J31" s="102" t="s">
        <v>76</v>
      </c>
      <c r="K31"/>
      <c r="L31"/>
      <c r="M31"/>
    </row>
    <row r="32" spans="1:26" s="26" customFormat="1" ht="12.75" x14ac:dyDescent="0.2">
      <c r="H32" s="103" t="s">
        <v>188</v>
      </c>
      <c r="I32" s="125">
        <f>I30+I31</f>
        <v>67264.470000000016</v>
      </c>
      <c r="J32" s="235">
        <f>IFERROR(I32/$I$27,0)</f>
        <v>0.23347848579374705</v>
      </c>
      <c r="K32" s="28" t="str">
        <f>IF(AND(I32&gt;0,J32&gt;10%),"Surplus must be factored into rate calculation per billing rate policy","Surplus less than 10% of annual operating expenses/(Deficit) can be factored into the rate but is not required")</f>
        <v>Surplus must be factored into rate calculation per billing rate policy</v>
      </c>
    </row>
    <row r="33" spans="1:22" s="26" customFormat="1" ht="12.75" x14ac:dyDescent="0.2">
      <c r="H33" s="40" t="s">
        <v>189</v>
      </c>
      <c r="I33" s="159">
        <f>IF(J32&gt;10%,$I$27*0.1,0)</f>
        <v>28809.708000000002</v>
      </c>
      <c r="J33" s="206">
        <f>IFERROR(I33/$I$27,0)</f>
        <v>0.1</v>
      </c>
      <c r="K33" s="28"/>
    </row>
    <row r="34" spans="1:22" s="26" customFormat="1" ht="12.75" x14ac:dyDescent="0.2">
      <c r="H34" s="103" t="s">
        <v>190</v>
      </c>
      <c r="I34" s="236">
        <f>I32-I33</f>
        <v>38454.762000000017</v>
      </c>
      <c r="J34" s="206"/>
      <c r="K34" s="28"/>
    </row>
    <row r="35" spans="1:22" s="26" customFormat="1" ht="12.75" x14ac:dyDescent="0.2">
      <c r="H35" s="40"/>
      <c r="I35" s="159"/>
      <c r="J35" s="206"/>
      <c r="K35" s="28"/>
    </row>
    <row r="36" spans="1:22" s="26" customFormat="1" ht="12.75" x14ac:dyDescent="0.2">
      <c r="H36" s="40" t="s">
        <v>191</v>
      </c>
      <c r="I36" s="207">
        <v>0</v>
      </c>
      <c r="J36" s="206">
        <f>IFERROR(I36/$M$30,0)</f>
        <v>0</v>
      </c>
      <c r="K36" s="28"/>
    </row>
    <row r="37" spans="1:22" s="26" customFormat="1" ht="12.75" x14ac:dyDescent="0.2">
      <c r="H37" s="103"/>
      <c r="I37" s="237"/>
      <c r="J37" s="99"/>
      <c r="K37" s="28"/>
    </row>
    <row r="38" spans="1:22" s="26" customFormat="1" ht="12.75" x14ac:dyDescent="0.2">
      <c r="H38" s="103" t="s">
        <v>192</v>
      </c>
      <c r="I38" s="238">
        <f>IF(I34&gt;I36,I34-I36,IF(I32&lt;0,I34,I34-I34))</f>
        <v>38454.762000000017</v>
      </c>
      <c r="J38" s="235">
        <f>IFERROR(I38/$M$30,0)</f>
        <v>0.11298898002593105</v>
      </c>
      <c r="K38" s="28" t="str">
        <f>IF(AND(I38&gt;0,J38&gt;10%),"Surplus must be factored into rate calculation per billing rate policy","Surplus less than 10% of annual operating expenses/(Deficit) can be factored into the rate but is not required")</f>
        <v>Surplus must be factored into rate calculation per billing rate policy</v>
      </c>
    </row>
    <row r="39" spans="1:22" s="26" customFormat="1" ht="12.75" x14ac:dyDescent="0.2">
      <c r="I39" s="101"/>
    </row>
    <row r="40" spans="1:22" s="26" customFormat="1" ht="12.75" x14ac:dyDescent="0.2">
      <c r="H40" s="40" t="s">
        <v>77</v>
      </c>
      <c r="I40" s="251">
        <v>2</v>
      </c>
      <c r="V40" s="163"/>
    </row>
    <row r="41" spans="1:22" s="26" customFormat="1" ht="12.75" x14ac:dyDescent="0.2">
      <c r="H41" s="167" t="s">
        <v>100</v>
      </c>
      <c r="I41" s="127">
        <f>+'.1 Cover'!G37</f>
        <v>32069</v>
      </c>
      <c r="L41" s="40"/>
      <c r="M41" s="169"/>
      <c r="N41" s="169"/>
      <c r="O41" s="169"/>
      <c r="P41" s="169"/>
      <c r="Q41" s="169"/>
      <c r="R41" s="169"/>
      <c r="S41" s="169"/>
      <c r="T41" s="169"/>
      <c r="U41" s="169"/>
      <c r="V41" s="166"/>
    </row>
    <row r="42" spans="1:22" s="26" customFormat="1" ht="12.75" x14ac:dyDescent="0.2">
      <c r="D42" s="41"/>
      <c r="E42" s="41"/>
      <c r="F42" s="41"/>
      <c r="G42" s="41"/>
      <c r="H42" s="15" t="s">
        <v>193</v>
      </c>
      <c r="I42" s="239">
        <f>I40*I41</f>
        <v>64138</v>
      </c>
      <c r="M42" s="166"/>
      <c r="N42" s="166"/>
      <c r="O42" s="166"/>
      <c r="P42" s="166"/>
      <c r="Q42" s="166"/>
      <c r="R42" s="166"/>
      <c r="S42" s="166"/>
      <c r="T42" s="166"/>
      <c r="U42" s="166"/>
      <c r="V42" s="171"/>
    </row>
    <row r="43" spans="1:22" s="26" customFormat="1" ht="12.75" x14ac:dyDescent="0.2">
      <c r="D43" s="41"/>
      <c r="E43" s="41"/>
      <c r="F43" s="41"/>
      <c r="G43" s="41"/>
      <c r="H43" s="15"/>
      <c r="I43" s="240"/>
      <c r="M43" s="166"/>
      <c r="N43" s="166"/>
      <c r="O43" s="166"/>
      <c r="P43" s="166"/>
      <c r="Q43" s="166"/>
      <c r="R43" s="166"/>
      <c r="S43" s="166"/>
      <c r="T43" s="166"/>
      <c r="U43" s="166"/>
      <c r="V43" s="171"/>
    </row>
    <row r="44" spans="1:22" s="26" customFormat="1" ht="12.75" x14ac:dyDescent="0.2">
      <c r="D44" s="41"/>
      <c r="E44" s="41"/>
      <c r="F44" s="41"/>
      <c r="G44" s="41"/>
      <c r="H44" s="15" t="s">
        <v>144</v>
      </c>
      <c r="I44" s="208">
        <f>IFERROR(I38/I42,0)</f>
        <v>0.59956284885715205</v>
      </c>
      <c r="M44" s="166"/>
      <c r="N44" s="166"/>
      <c r="O44" s="166"/>
      <c r="P44" s="166"/>
      <c r="Q44" s="166"/>
      <c r="R44" s="166"/>
      <c r="S44" s="166"/>
      <c r="T44" s="166"/>
      <c r="U44" s="166"/>
      <c r="V44" s="171"/>
    </row>
    <row r="45" spans="1:22" s="26" customFormat="1" ht="12.75" x14ac:dyDescent="0.2">
      <c r="D45" s="41"/>
      <c r="E45" s="41"/>
      <c r="F45" s="41"/>
      <c r="G45" s="41"/>
      <c r="H45" s="15" t="s">
        <v>194</v>
      </c>
      <c r="I45" s="202">
        <v>1</v>
      </c>
      <c r="J45" s="244" t="s">
        <v>198</v>
      </c>
      <c r="M45" s="166"/>
      <c r="N45" s="166"/>
      <c r="O45" s="166"/>
      <c r="P45" s="166"/>
      <c r="Q45" s="166"/>
      <c r="R45" s="166"/>
      <c r="S45" s="166"/>
      <c r="T45" s="166"/>
      <c r="U45" s="166"/>
      <c r="V45" s="171"/>
    </row>
    <row r="46" spans="1:22" s="26" customFormat="1" ht="13.5" thickBot="1" x14ac:dyDescent="0.25">
      <c r="H46" s="15" t="s">
        <v>195</v>
      </c>
      <c r="I46" s="203">
        <f>ROUND((I44*I45),2)</f>
        <v>0.6</v>
      </c>
      <c r="J46" s="28" t="s">
        <v>101</v>
      </c>
      <c r="M46" s="164"/>
      <c r="N46" s="164"/>
      <c r="O46" s="164"/>
      <c r="P46" s="164"/>
      <c r="Q46" s="164"/>
      <c r="R46" s="164"/>
      <c r="S46" s="164"/>
      <c r="T46" s="164"/>
      <c r="U46" s="164"/>
      <c r="V46" s="165"/>
    </row>
    <row r="47" spans="1:22" s="26" customFormat="1" ht="14.25" thickTop="1" thickBot="1" x14ac:dyDescent="0.25">
      <c r="M47" s="164"/>
      <c r="N47" s="164"/>
      <c r="O47" s="164"/>
      <c r="P47" s="164"/>
      <c r="Q47" s="164"/>
      <c r="R47" s="164"/>
      <c r="S47" s="164"/>
      <c r="T47" s="164"/>
      <c r="U47" s="164"/>
      <c r="V47" s="165"/>
    </row>
    <row r="48" spans="1:22" s="26" customFormat="1" ht="13.5" thickBot="1" x14ac:dyDescent="0.25">
      <c r="A48" s="199" t="s">
        <v>78</v>
      </c>
      <c r="B48" s="200"/>
      <c r="C48" s="200"/>
      <c r="D48" s="200"/>
      <c r="E48" s="200"/>
      <c r="F48" s="200"/>
      <c r="G48" s="200"/>
      <c r="H48" s="200"/>
      <c r="I48" s="201"/>
      <c r="M48" s="168"/>
    </row>
    <row r="49" spans="1:22" ht="11.25" customHeight="1" x14ac:dyDescent="0.2">
      <c r="A49" s="283" t="s">
        <v>79</v>
      </c>
      <c r="B49" s="284"/>
      <c r="C49" s="284"/>
      <c r="D49" s="284"/>
      <c r="E49" s="284"/>
      <c r="F49" s="284"/>
      <c r="G49" s="284"/>
      <c r="H49" s="284"/>
      <c r="I49" s="285"/>
      <c r="M49" s="170"/>
      <c r="N49" s="170"/>
      <c r="O49" s="170"/>
      <c r="P49" s="170"/>
      <c r="Q49" s="170"/>
      <c r="R49" s="170"/>
      <c r="S49" s="170"/>
      <c r="T49" s="170"/>
      <c r="U49" s="170"/>
      <c r="V49" s="170"/>
    </row>
    <row r="50" spans="1:22" x14ac:dyDescent="0.2">
      <c r="A50" s="286"/>
      <c r="B50" s="287"/>
      <c r="C50" s="287"/>
      <c r="D50" s="287"/>
      <c r="E50" s="287"/>
      <c r="F50" s="287"/>
      <c r="G50" s="287"/>
      <c r="H50" s="287"/>
      <c r="I50" s="288"/>
      <c r="M50" s="170"/>
      <c r="N50" s="170"/>
      <c r="O50" s="170"/>
      <c r="P50" s="170"/>
      <c r="Q50" s="170"/>
      <c r="R50" s="170"/>
      <c r="S50" s="170"/>
      <c r="T50" s="170"/>
      <c r="U50" s="170"/>
      <c r="V50" s="170"/>
    </row>
    <row r="51" spans="1:22" x14ac:dyDescent="0.2">
      <c r="A51" s="286"/>
      <c r="B51" s="287"/>
      <c r="C51" s="287"/>
      <c r="D51" s="287"/>
      <c r="E51" s="287"/>
      <c r="F51" s="287"/>
      <c r="G51" s="287"/>
      <c r="H51" s="287"/>
      <c r="I51" s="288"/>
    </row>
    <row r="52" spans="1:22" x14ac:dyDescent="0.2">
      <c r="A52" s="286"/>
      <c r="B52" s="287"/>
      <c r="C52" s="287"/>
      <c r="D52" s="287"/>
      <c r="E52" s="287"/>
      <c r="F52" s="287"/>
      <c r="G52" s="287"/>
      <c r="H52" s="287"/>
      <c r="I52" s="288"/>
      <c r="J52" s="244" t="s">
        <v>198</v>
      </c>
    </row>
    <row r="53" spans="1:22" x14ac:dyDescent="0.2">
      <c r="A53" s="286"/>
      <c r="B53" s="287"/>
      <c r="C53" s="287"/>
      <c r="D53" s="287"/>
      <c r="E53" s="287"/>
      <c r="F53" s="287"/>
      <c r="G53" s="287"/>
      <c r="H53" s="287"/>
      <c r="I53" s="288"/>
    </row>
    <row r="54" spans="1:22" x14ac:dyDescent="0.2">
      <c r="A54" s="286"/>
      <c r="B54" s="287"/>
      <c r="C54" s="287"/>
      <c r="D54" s="287"/>
      <c r="E54" s="287"/>
      <c r="F54" s="287"/>
      <c r="G54" s="287"/>
      <c r="H54" s="287"/>
      <c r="I54" s="288"/>
    </row>
    <row r="55" spans="1:22" x14ac:dyDescent="0.2">
      <c r="A55" s="286"/>
      <c r="B55" s="287"/>
      <c r="C55" s="287"/>
      <c r="D55" s="287"/>
      <c r="E55" s="287"/>
      <c r="F55" s="287"/>
      <c r="G55" s="287"/>
      <c r="H55" s="287"/>
      <c r="I55" s="288"/>
    </row>
    <row r="56" spans="1:22" ht="12" thickBot="1" x14ac:dyDescent="0.25">
      <c r="A56" s="289"/>
      <c r="B56" s="290"/>
      <c r="C56" s="290"/>
      <c r="D56" s="290"/>
      <c r="E56" s="290"/>
      <c r="F56" s="290"/>
      <c r="G56" s="290"/>
      <c r="H56" s="290"/>
      <c r="I56" s="291"/>
    </row>
  </sheetData>
  <mergeCells count="7">
    <mergeCell ref="A49:I56"/>
    <mergeCell ref="A3:I3"/>
    <mergeCell ref="A5:I5"/>
    <mergeCell ref="A7:I7"/>
    <mergeCell ref="A8:I8"/>
    <mergeCell ref="A6:I6"/>
    <mergeCell ref="A31:H31"/>
  </mergeCells>
  <pageMargins left="0.7" right="0.7" top="0.75" bottom="0.75" header="0.3" footer="0.3"/>
  <pageSetup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 Cover</vt:lpstr>
      <vt:lpstr>.2 Direct &amp; Indirect Personnel</vt:lpstr>
      <vt:lpstr>.3 Direct &amp; Indirect Costs</vt:lpstr>
      <vt:lpstr>.4 Equipment Use Fee (Indirect)</vt:lpstr>
      <vt:lpstr>.5 Lookback Analysis</vt:lpstr>
      <vt:lpstr>'.1 Cover'!Print_Area</vt:lpstr>
      <vt:lpstr>'.2 Direct &amp; Indirect Personnel'!Print_Area</vt:lpstr>
      <vt:lpstr>'.3 Direct &amp; Indirect Costs'!Print_Area</vt:lpstr>
      <vt:lpstr>'.4 Equipment Use Fee (Indirect)'!Print_Area</vt:lpstr>
      <vt:lpstr>'.5 Lookback Analysis'!Print_Area</vt:lpstr>
      <vt:lpstr>'.2 Direct &amp; Indirect Personnel'!Print_Titles</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2022-04-05T12:15:37Z</cp:lastPrinted>
  <dcterms:created xsi:type="dcterms:W3CDTF">2007-10-18T17:01:47Z</dcterms:created>
  <dcterms:modified xsi:type="dcterms:W3CDTF">2025-02-28T21:32:29Z</dcterms:modified>
</cp:coreProperties>
</file>