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es.msu.edu\ctlr\Share\FINANAL\Revolving\Billing Rates\BILLING RATE POLICY - GUIDANCE - TEMPLATES\Sample Templates\Revised 2025\"/>
    </mc:Choice>
  </mc:AlternateContent>
  <xr:revisionPtr revIDLastSave="0" documentId="13_ncr:1_{58F0469E-5154-4803-8D2C-B7ACA45FD178}" xr6:coauthVersionLast="47" xr6:coauthVersionMax="47" xr10:uidLastSave="{00000000-0000-0000-0000-000000000000}"/>
  <bookViews>
    <workbookView xWindow="-120" yWindow="-120" windowWidth="29040" windowHeight="15720" tabRatio="793" activeTab="4" xr2:uid="{00000000-000D-0000-FFFF-FFFF00000000}"/>
  </bookViews>
  <sheets>
    <sheet name=".1 Cover" sheetId="5" r:id="rId1"/>
    <sheet name=".2 Direct &amp; Indirect Personnel" sheetId="1" r:id="rId2"/>
    <sheet name=".3 Direct &amp; Indirect Costs" sheetId="2" r:id="rId3"/>
    <sheet name=".4 Equipment Use Fee (Indirect)" sheetId="3" r:id="rId4"/>
    <sheet name=".5 Lookback Analysis" sheetId="9" r:id="rId5"/>
  </sheets>
  <definedNames>
    <definedName name="_xlnm.Print_Area" localSheetId="0">'.1 Cover'!$A$1:$K$54</definedName>
    <definedName name="_xlnm.Print_Area" localSheetId="1">'.2 Direct &amp; Indirect Personnel'!$A$1:$I$66</definedName>
    <definedName name="_xlnm.Print_Area" localSheetId="2">'.3 Direct &amp; Indirect Costs'!$A$1:$I$51</definedName>
    <definedName name="_xlnm.Print_Area" localSheetId="4">'.5 Lookback Analysis'!$A$1:$I$32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2" i="9" l="1"/>
  <c r="J32" i="9" s="1"/>
  <c r="J31" i="9"/>
  <c r="I31" i="9"/>
  <c r="C13" i="5"/>
  <c r="C14" i="5" s="1"/>
  <c r="E25" i="2" l="1"/>
  <c r="E23" i="2"/>
  <c r="E10" i="2"/>
  <c r="A79" i="1" l="1"/>
  <c r="B79" i="1" s="1"/>
  <c r="D79" i="1" s="1"/>
  <c r="E79" i="1" s="1"/>
  <c r="A78" i="1"/>
  <c r="B78" i="1" s="1"/>
  <c r="D78" i="1" s="1"/>
  <c r="E78" i="1" s="1"/>
  <c r="A77" i="1"/>
  <c r="B77" i="1" s="1"/>
  <c r="D77" i="1" s="1"/>
  <c r="E77" i="1" s="1"/>
  <c r="A76" i="1"/>
  <c r="B76" i="1" s="1"/>
  <c r="D76" i="1" s="1"/>
  <c r="E76" i="1" s="1"/>
  <c r="A75" i="1"/>
  <c r="B75" i="1" s="1"/>
  <c r="D75" i="1" s="1"/>
  <c r="E75" i="1" s="1"/>
  <c r="A74" i="1"/>
  <c r="B74" i="1" s="1"/>
  <c r="D74" i="1" s="1"/>
  <c r="E74" i="1" s="1"/>
  <c r="F15" i="3" l="1"/>
  <c r="F14" i="3"/>
  <c r="F13" i="3"/>
  <c r="F12" i="3"/>
  <c r="F11" i="3"/>
  <c r="H15" i="3"/>
  <c r="I15" i="3" s="1"/>
  <c r="H14" i="3"/>
  <c r="I14" i="3" s="1"/>
  <c r="H13" i="3"/>
  <c r="I13" i="3" s="1"/>
  <c r="H12" i="3"/>
  <c r="I12" i="3" s="1"/>
  <c r="H11" i="3"/>
  <c r="I11" i="3" s="1"/>
  <c r="K11" i="3" l="1"/>
  <c r="K12" i="3"/>
  <c r="K13" i="3"/>
  <c r="K14" i="3"/>
  <c r="K15" i="3"/>
  <c r="I40" i="9" l="1"/>
  <c r="I41" i="9" s="1"/>
  <c r="G46" i="1" l="1"/>
  <c r="H46" i="1" l="1"/>
  <c r="I26" i="9"/>
  <c r="I20" i="9"/>
  <c r="G36" i="2"/>
  <c r="G37" i="2"/>
  <c r="G38" i="2"/>
  <c r="G39" i="2"/>
  <c r="G40" i="2"/>
  <c r="G35" i="2"/>
  <c r="K27" i="3"/>
  <c r="K26" i="3"/>
  <c r="K25" i="3"/>
  <c r="G55" i="1"/>
  <c r="G47" i="1"/>
  <c r="G21" i="1"/>
  <c r="G13" i="1"/>
  <c r="G12" i="1"/>
  <c r="J32" i="5"/>
  <c r="G48" i="2" l="1"/>
  <c r="J39" i="5" s="1"/>
  <c r="H21" i="1"/>
  <c r="H55" i="1"/>
  <c r="H58" i="1" s="1"/>
  <c r="H47" i="1"/>
  <c r="H50" i="1" s="1"/>
  <c r="H12" i="1"/>
  <c r="H13" i="1"/>
  <c r="H16" i="1" s="1"/>
  <c r="I29" i="9"/>
  <c r="K18" i="3"/>
  <c r="K30" i="3"/>
  <c r="H24" i="1" l="1"/>
  <c r="H28" i="1" s="1"/>
  <c r="J31" i="5" s="1"/>
  <c r="J34" i="5" s="1"/>
  <c r="K39" i="3"/>
  <c r="J40" i="5" s="1"/>
  <c r="H62" i="1"/>
  <c r="J38" i="5" s="1"/>
  <c r="J42" i="5" l="1"/>
  <c r="J44" i="5" l="1"/>
  <c r="J48" i="5" l="1"/>
  <c r="J35" i="9"/>
  <c r="K31" i="9" l="1"/>
  <c r="I33" i="9" l="1"/>
  <c r="I37" i="9" s="1"/>
  <c r="J37" i="9" l="1"/>
  <c r="K37" i="9" s="1"/>
  <c r="I43" i="9"/>
  <c r="I45" i="9" s="1"/>
  <c r="J50" i="5" s="1"/>
  <c r="J52" i="5" s="1"/>
  <c r="E25" i="5" s="1"/>
  <c r="E23" i="5" l="1"/>
  <c r="E2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Rudy Rendon</author>
  </authors>
  <commentList>
    <comment ref="C14" authorId="0" shapeId="0" xr:uid="{D7C8F7F7-AEDA-4B99-849A-6D6122128F86}">
      <text>
        <r>
          <rPr>
            <b/>
            <sz val="9"/>
            <color indexed="81"/>
            <rFont val="Tahoma"/>
            <family val="2"/>
          </rPr>
          <t>Rudy Rendon:</t>
        </r>
        <r>
          <rPr>
            <sz val="9"/>
            <color indexed="81"/>
            <rFont val="Tahoma"/>
            <family val="2"/>
          </rPr>
          <t xml:space="preserve">
Effective date can be altered. Discuss with rate reviewer if desired to have different from approval letter date.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Rudy Rendon</author>
  </authors>
  <commentList>
    <comment ref="C73" authorId="0" shapeId="0" xr:uid="{E858F0CF-4AF4-4240-BEDD-7BC34DD02A5D}">
      <text>
        <r>
          <rPr>
            <b/>
            <sz val="9"/>
            <color indexed="81"/>
            <rFont val="Tahoma"/>
            <family val="2"/>
          </rPr>
          <t>Rudy Rendon:</t>
        </r>
        <r>
          <rPr>
            <sz val="9"/>
            <color indexed="81"/>
            <rFont val="Tahoma"/>
            <family val="2"/>
          </rPr>
          <t xml:space="preserve">
Could be &lt; 100% in the event a portion of an employee's salary is covered by other billing rates and/or government grants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Mossner, Christine</author>
    <author>Rudy Rendon</author>
  </authors>
  <commentList>
    <comment ref="I19" authorId="0" shapeId="0" xr:uid="{65FB276A-5CFC-4BC9-97FE-72EA066CE2A4}">
      <text>
        <r>
          <rPr>
            <b/>
            <sz val="9"/>
            <color indexed="81"/>
            <rFont val="Tahoma"/>
            <family val="2"/>
          </rPr>
          <t>Mossner, Christine:</t>
        </r>
        <r>
          <rPr>
            <sz val="9"/>
            <color indexed="81"/>
            <rFont val="Tahoma"/>
            <family val="2"/>
          </rPr>
          <t xml:space="preserve">
Admin Fee Charged 6470</t>
        </r>
      </text>
    </comment>
    <comment ref="I39" authorId="1" shapeId="0" xr:uid="{24389F34-41D4-4FAA-9642-20E9BE8503BF}">
      <text>
        <r>
          <rPr>
            <sz val="9"/>
            <color indexed="81"/>
            <rFont val="Tahoma"/>
            <family val="2"/>
          </rPr>
          <t xml:space="preserve">Rate last reviewed in XXXX
</t>
        </r>
      </text>
    </comment>
  </commentList>
</comments>
</file>

<file path=xl/sharedStrings.xml><?xml version="1.0" encoding="utf-8"?>
<sst xmlns="http://schemas.openxmlformats.org/spreadsheetml/2006/main" count="285" uniqueCount="212">
  <si>
    <t>Employee</t>
  </si>
  <si>
    <t>Annual Salary &amp; Fringe</t>
  </si>
  <si>
    <t>Employee Title</t>
  </si>
  <si>
    <t>Description</t>
  </si>
  <si>
    <t>DIRECT PERSONNEL COSTS:</t>
  </si>
  <si>
    <t>Producer/Dir.</t>
  </si>
  <si>
    <t>SALARY EMPLOYEES:</t>
  </si>
  <si>
    <t>HOURLY EMPLOYEES:</t>
  </si>
  <si>
    <t>Hourly Rate</t>
  </si>
  <si>
    <t>TOTAL - SALARY PERSONNEL</t>
  </si>
  <si>
    <t>TOTAL - HOURLY PERSONNEL</t>
  </si>
  <si>
    <t>Employee #1</t>
  </si>
  <si>
    <t>Employee #2</t>
  </si>
  <si>
    <t>Programmer</t>
  </si>
  <si>
    <t>Admin Asst</t>
  </si>
  <si>
    <t>Amount</t>
  </si>
  <si>
    <t>Paper</t>
  </si>
  <si>
    <t>Original Cost</t>
  </si>
  <si>
    <t>Estimated Life</t>
  </si>
  <si>
    <t>Annual Cost</t>
  </si>
  <si>
    <t>PAGE 4</t>
  </si>
  <si>
    <t>Employee #3 (on-call)</t>
  </si>
  <si>
    <t>Employee Name</t>
  </si>
  <si>
    <t>NOTE:  Please list only those employees that will be working on projects/providing services that will be performing the work to be billed for.</t>
  </si>
  <si>
    <t>External</t>
  </si>
  <si>
    <t>Rate:</t>
  </si>
  <si>
    <t>per (unit)</t>
  </si>
  <si>
    <t>SERVICE CENTER BILLING RATE APPROVAL REQUEST</t>
  </si>
  <si>
    <t>Department:</t>
  </si>
  <si>
    <t>Contact Person (name &amp; #):</t>
  </si>
  <si>
    <t>INDIRECT PERSONNEL COSTS:</t>
  </si>
  <si>
    <t>Secretary</t>
  </si>
  <si>
    <t>Anticipated Hours Worked</t>
  </si>
  <si>
    <t>XT123456</t>
  </si>
  <si>
    <t>Department of Cost Accounting</t>
  </si>
  <si>
    <t>BILLING RATE DOCUMENTATION SUMMARY</t>
  </si>
  <si>
    <t>Employee #4</t>
  </si>
  <si>
    <t>Employee #5</t>
  </si>
  <si>
    <t>Employee #6 (on-call)</t>
  </si>
  <si>
    <t>Student</t>
  </si>
  <si>
    <t>Tech Support</t>
  </si>
  <si>
    <t>Printer (solely for testing)</t>
  </si>
  <si>
    <t>Microscope</t>
  </si>
  <si>
    <t>Autoclaves</t>
  </si>
  <si>
    <t>Analysis Software</t>
  </si>
  <si>
    <t>EQUIPMENT OPERATIONAL EXPENSES</t>
  </si>
  <si>
    <t>NOTE:  Please include only those other direct expenses that will be directly attributable to the service.</t>
  </si>
  <si>
    <t>User Groups:</t>
  </si>
  <si>
    <t>DIRECT PERSONNEL (SEE PAGE/TAB 2 FOR DETAILS)</t>
  </si>
  <si>
    <t>EQUIPMENT USE FEE (INDIRECT)</t>
  </si>
  <si>
    <t>Cost Related to This Service</t>
  </si>
  <si>
    <t>Cost per Year Related to this Service</t>
  </si>
  <si>
    <t>Lab Coats and Clean Room Supplies</t>
  </si>
  <si>
    <t xml:space="preserve">Telephone Access Charges </t>
  </si>
  <si>
    <t>Office Wide Shipping Costs (net of test results above)</t>
  </si>
  <si>
    <t>Office printer/scanner</t>
  </si>
  <si>
    <t>Total Equipment Operational Costs</t>
  </si>
  <si>
    <t>NOTE:  Costs that support the whole department, but can't be tracked/charged by the specific service (and therefore must be allocated)</t>
  </si>
  <si>
    <t>Equipment (costing &lt; $5,000 each and not included elsewhere)</t>
  </si>
  <si>
    <t>Annual Amount</t>
  </si>
  <si>
    <t>Allocation Method for % Related to this Service:</t>
  </si>
  <si>
    <t>OTHER DIRECT COSTS:</t>
  </si>
  <si>
    <t>OTHER INDIRECT COSTS:</t>
  </si>
  <si>
    <t>PAGE 2</t>
  </si>
  <si>
    <t xml:space="preserve">NOTE: Include only the capitalized equipment (costing &gt; or =  $5,000) used in providing goods/services which are charged to the </t>
  </si>
  <si>
    <t>SALARY EMPLOYEES</t>
  </si>
  <si>
    <t>HOURLY EMPLOYEES</t>
  </si>
  <si>
    <t>INDIRECT PERSONNEL (SEE PAGE/TAB 2 FOR DETAILS)</t>
  </si>
  <si>
    <t>TOTAL DIRECT COSTS</t>
  </si>
  <si>
    <t>TOTAL INDIRECT COSTS</t>
  </si>
  <si>
    <t>ANNUAL AMOUNT</t>
  </si>
  <si>
    <t>X</t>
  </si>
  <si>
    <t>Explanation (if higher):</t>
  </si>
  <si>
    <t>PAGE 1</t>
  </si>
  <si>
    <t>INSTRUCTIONS:</t>
  </si>
  <si>
    <t>PAGE 5</t>
  </si>
  <si>
    <t>First Time Request or Update/Renewal of Rates:</t>
  </si>
  <si>
    <t>LOOKBACK ANALYSIS (REQUIRED FOR UPDATED/RENEWED RATES)</t>
  </si>
  <si>
    <t>Page 6</t>
  </si>
  <si>
    <r>
      <rPr>
        <b/>
        <sz val="10"/>
        <rFont val="Calibri"/>
        <family val="2"/>
      </rPr>
      <t>Revenues that exceed the actual costs of a service can not be used to subsidize other services</t>
    </r>
    <r>
      <rPr>
        <sz val="10"/>
        <rFont val="Calibri"/>
        <family val="2"/>
      </rPr>
      <t xml:space="preserve"> of the Service Center (except for external users).</t>
    </r>
  </si>
  <si>
    <r>
      <t xml:space="preserve">It is the </t>
    </r>
    <r>
      <rPr>
        <b/>
        <sz val="10"/>
        <rFont val="Calibri"/>
        <family val="2"/>
      </rPr>
      <t xml:space="preserve">department’s responsibility </t>
    </r>
    <r>
      <rPr>
        <sz val="10"/>
        <rFont val="Calibri"/>
        <family val="2"/>
      </rPr>
      <t>to maintain operating statements to support calculations used to develop and review rates.</t>
    </r>
  </si>
  <si>
    <t>Prior Year Revenue for this Service</t>
  </si>
  <si>
    <t xml:space="preserve">Less "markup" for External Users </t>
  </si>
  <si>
    <t>NET COSTS OF PROVIDING THE SERVICE IN PRIOR PERIOD</t>
  </si>
  <si>
    <t>NET REVENUE GENERATED FOR COST RECOVERY</t>
  </si>
  <si>
    <t>PRIOR PERIOD NET (REVENUE LESS EXPENSES OR COSTS)</t>
  </si>
  <si>
    <t xml:space="preserve">Annual review is encouraged, but at least biennially (every 2 years) is required.  </t>
  </si>
  <si>
    <t>From:</t>
  </si>
  <si>
    <t>To:</t>
  </si>
  <si>
    <t>SUMMARY OF ANNUAL DIRECT COSTS</t>
  </si>
  <si>
    <t>SUMMARY OF ANNUAL INDIRECT COSTS</t>
  </si>
  <si>
    <t>Time Period Used for Lookback</t>
  </si>
  <si>
    <t>Testing of Lab Samples</t>
  </si>
  <si>
    <t>Renewal</t>
  </si>
  <si>
    <t>Rate Effective Date:</t>
  </si>
  <si>
    <t>NUMBER OF BILLABLE HOURS GENERATED BY THE COSTS ABOVE</t>
  </si>
  <si>
    <t xml:space="preserve">http://www.ctlr.msu.edu/copayroll/Fringes.aspx </t>
  </si>
  <si>
    <t>***Fringe %</t>
  </si>
  <si>
    <r>
      <t xml:space="preserve">E-mail completed workbook or questions to </t>
    </r>
    <r>
      <rPr>
        <b/>
        <u/>
        <sz val="10"/>
        <color rgb="FF0000FF"/>
        <rFont val="Calibri"/>
        <family val="2"/>
        <scheme val="minor"/>
      </rPr>
      <t>billing.rates@ctlr.msu.edu</t>
    </r>
  </si>
  <si>
    <t>TOTAL COST PER HOUR (Total Cost / # of Hours)</t>
  </si>
  <si>
    <t xml:space="preserve">NOTE: ONLY THE PORTION OF THE LABOR AND FRINGE COSTS THAT ARE AN EXPENSE TO THE REVOLVING ACCOUNT MAY BE INCLUDED IN THE RATES.  </t>
  </si>
  <si>
    <t xml:space="preserve">IF A SALARIED EMPLOYEE IS PAID ON A GENERAL FUND OR GRANT ACCOUNT, BUT PERFORMS BILLABLE SERVICE WORK, A COST REDISTRIBUTION SHOULD </t>
  </si>
  <si>
    <t xml:space="preserve">BE PROCESSED IN SAP (AND AN EFFORT REPORT SHOULD BE PREPARED IF EFFECTING A GRANT ACCOUNT) TO MOVE THE APPROPRIATE % OF THAT PERSON'S </t>
  </si>
  <si>
    <t>% Effort on This Service/Acct**</t>
  </si>
  <si>
    <t>Annual Pay Per Person *</t>
  </si>
  <si>
    <t>Cost Related to This Service/Acct</t>
  </si>
  <si>
    <t>Annual Labor and Fringe</t>
  </si>
  <si>
    <t>* Annual pay may be an estimate for the upcoming year or the actual pay for the prior year.</t>
  </si>
  <si>
    <t>**  Effort is the percentage of time expected to be spent providing this service or in support of this service.  Remember that these costs need to be recorded on the revolving account for this service.</t>
  </si>
  <si>
    <t xml:space="preserve">*** Fringe rates can be found at </t>
  </si>
  <si>
    <t>or use the actual fringe costs shown on ledgers.</t>
  </si>
  <si>
    <t>PAY TO THE REVOLVING ACCOUNT.  FOR HOURLY EMPLOYEES, SELECT THE REVOLVING ACCOUNT FOR HOURS SPENT ON THIS SERVICE WHEN PROCESSING PAYROLL.</t>
  </si>
  <si>
    <t>ALL INFORMATION BELOW SHOULD TIE DIRECTLY TO OPERATING STATEMENTS FOR THE PERIOD USED.</t>
  </si>
  <si>
    <t>John Doe 5-5555</t>
  </si>
  <si>
    <t>or contact Financial Analysis at 355-5029 with questions.</t>
  </si>
  <si>
    <t>KFS Object &amp; Description</t>
  </si>
  <si>
    <t>6428 - Slides</t>
  </si>
  <si>
    <t>6428 - Litmus Paper</t>
  </si>
  <si>
    <t>6428 - Dye</t>
  </si>
  <si>
    <t>Asset Tag #</t>
  </si>
  <si>
    <t>Purchaser Account #</t>
  </si>
  <si>
    <t>XXXXXXX</t>
  </si>
  <si>
    <t>6235 - Maintenance contracts on Above Equip (per year)</t>
  </si>
  <si>
    <t>6428 - Ink Cartridges (for testing printer)</t>
  </si>
  <si>
    <t>6428 - Toner for Office printer/scanner</t>
  </si>
  <si>
    <t>6489 - Contracted Services (expert testers)</t>
  </si>
  <si>
    <t>6490 - Repairs and Maintenance (other than equip)</t>
  </si>
  <si>
    <t>6560 - Rental of lab space for this test only</t>
  </si>
  <si>
    <t>6555 - Shipping costs (for sending Test Results Only)</t>
  </si>
  <si>
    <t>6428 - Equipment (costing &lt; $5,000)</t>
  </si>
  <si>
    <t>% of Annual Operating Expenses</t>
  </si>
  <si>
    <t>CUMULATIVE LOOKBACK REDUCTION (RECOVERY)</t>
  </si>
  <si>
    <t>CUMULATIVE SURPLUS (DEFICIT) FOR RATE ALLOCATION</t>
  </si>
  <si>
    <t>LESS ANTICIPATED CAPITAL NEEDS WITHIN THE NEXT TWO YEARS</t>
  </si>
  <si>
    <t>PERIOD BETWEEN REQUIRED BIENNIAL RATE REVIEWS</t>
  </si>
  <si>
    <t>TOTAL BILLABLE HOURS IN TIME BETWEEN RATE RENEWALS</t>
  </si>
  <si>
    <t>Departmental Notes/Documentation</t>
  </si>
  <si>
    <t>Example notes include decision on exclusion of deficit from billing rate, decision to factor 100% or 90% of surplus into billing rate, determination of anticipated capital needs, etc.</t>
  </si>
  <si>
    <t>TOTAL PROJECTED COSTS FOR THIS SERVICE</t>
  </si>
  <si>
    <t>REVENUE - Prior Period (most recent fiscal year - up to 2 fiscal years if have know anomalies)</t>
  </si>
  <si>
    <t>EXPENSES OR COSTS - Prior Period (most recent fiscal year - up to 2 fiscal years if have know anomalies)</t>
  </si>
  <si>
    <t>Surplus should not exceed 60 days of working capital or 10% of annual expenses</t>
  </si>
  <si>
    <r>
      <rPr>
        <b/>
        <sz val="10"/>
        <rFont val="Calibri"/>
        <family val="2"/>
      </rPr>
      <t xml:space="preserve">Surpluses or deficits should be used to adjust future billing rates or be credited back to users </t>
    </r>
    <r>
      <rPr>
        <sz val="10"/>
        <rFont val="Calibri"/>
        <family val="2"/>
      </rPr>
      <t>(as described in i).  This effort can exclude the balance created on external customers, so long as these surpluses can be documented.</t>
    </r>
    <r>
      <rPr>
        <sz val="10"/>
        <rFont val="Calibri"/>
        <family val="2"/>
        <scheme val="minor"/>
      </rPr>
      <t xml:space="preserve"> Deficits can be passed on consideration if reasoning is documented. Surpluses can be carried forward if they are less than 60 days of working capital and 10% of annual expenses.</t>
    </r>
  </si>
  <si>
    <t>TOTAL PROJECTED COST PER HOUR (Total Projected Cost / # of Hours)</t>
  </si>
  <si>
    <r>
      <t>All formula fields throughout this workbook are in</t>
    </r>
    <r>
      <rPr>
        <sz val="14"/>
        <color rgb="FF0070C0"/>
        <rFont val="Calibri"/>
        <family val="2"/>
        <scheme val="minor"/>
      </rPr>
      <t xml:space="preserve"> BLUE FONT.  </t>
    </r>
  </si>
  <si>
    <t>Total Expenses Incurred for Performing this Service in Prior Year</t>
  </si>
  <si>
    <t>ENDING FUND BALANCE AS OF PRIOR FISCAL YEAR
(KFS Beginning Balance  Line Amount for 3*** object code for Lookback Period)</t>
  </si>
  <si>
    <t>All items highlighted light orange are manually entered by the department.</t>
  </si>
  <si>
    <t>GEN</t>
  </si>
  <si>
    <t>Title of Service:</t>
  </si>
  <si>
    <t>Description of Service:</t>
  </si>
  <si>
    <t>Description of the testing of lab samples performed</t>
  </si>
  <si>
    <t>DIRECT PERSONNEL COSTS: Level of Effort and Billable Hours Determination Documentation</t>
  </si>
  <si>
    <r>
      <rPr>
        <b/>
        <u/>
        <sz val="8"/>
        <rFont val="Arial"/>
        <family val="2"/>
      </rPr>
      <t>LOE Example Language:</t>
    </r>
    <r>
      <rPr>
        <sz val="8"/>
        <rFont val="Arial"/>
        <family val="2"/>
      </rPr>
      <t xml:space="preserve"> LOE determined based on manager input and historical data ; LOE obtained from CGA's reporting site ; etc.</t>
    </r>
  </si>
  <si>
    <t>INDIRECT PERSONNEL COSTS: Level of Effort and Billable Hours Determination Documentation</t>
  </si>
  <si>
    <t>Approval Letter Date:</t>
  </si>
  <si>
    <t>Template: Testing or Per Hour Rates</t>
  </si>
  <si>
    <t>In Service Date</t>
  </si>
  <si>
    <t>Used Life</t>
  </si>
  <si>
    <t>Remaining Life</t>
  </si>
  <si>
    <t>EQUIPMENT DEPRECIATION COST ANALYSIS</t>
  </si>
  <si>
    <t>Total Equipment Depreciation Cost</t>
  </si>
  <si>
    <r>
      <t xml:space="preserve">Federal grants and that were </t>
    </r>
    <r>
      <rPr>
        <b/>
        <u/>
        <sz val="8"/>
        <rFont val="Arial"/>
        <family val="2"/>
      </rPr>
      <t>originally purchased with non-Federal and non-General Fund monies.</t>
    </r>
  </si>
  <si>
    <r>
      <rPr>
        <b/>
        <u/>
        <sz val="8"/>
        <rFont val="Calibri"/>
        <family val="2"/>
        <scheme val="minor"/>
      </rPr>
      <t>Example Language:</t>
    </r>
    <r>
      <rPr>
        <sz val="8"/>
        <rFont val="Calibri"/>
        <family val="2"/>
        <scheme val="minor"/>
      </rPr>
      <t xml:space="preserve"> Prevailing Market Price (could also be to fund other dept. activities or build reserves; make sure it at least covers the automatic charge for external users [26%  for DY; 2% for DS &amp; XT])</t>
    </r>
  </si>
  <si>
    <t>Complete the supporting tabs to compile costs of providing this service/testing.  Summarize the totals from other tabs in the  summary below, and fill in the desired rates for each user group.  Text in green needs to be updated (or added to).  ALL COSTS INCLUDED IN THIS ANALYSIS SHOULD BE EXPENSES ON THE REVOLVING ACCOUNT SHOWN ABOVE.</t>
  </si>
  <si>
    <r>
      <rPr>
        <b/>
        <u/>
        <sz val="8"/>
        <rFont val="Arial"/>
        <family val="2"/>
      </rPr>
      <t>Billable Hours Example Language:</t>
    </r>
    <r>
      <rPr>
        <sz val="8"/>
        <rFont val="Arial"/>
        <family val="2"/>
      </rPr>
      <t xml:space="preserve"> Billable hours determined based on 40hr/week for 52 weeks (2,080) less paid holidays (72), annual vacation leave (144), annual sick leave (48), annual profession development leave (96), &amp; administrative duties related to the service center (12) = 1,708 ; On-call/student employee on duty for 50% of the year (2080 * 50%) ; etc.</t>
    </r>
  </si>
  <si>
    <r>
      <rPr>
        <b/>
        <u/>
        <sz val="8"/>
        <rFont val="Arial"/>
        <family val="2"/>
      </rPr>
      <t>Example Language:</t>
    </r>
    <r>
      <rPr>
        <sz val="8"/>
        <rFont val="Arial"/>
        <family val="2"/>
      </rPr>
      <t xml:space="preserve"> Based on estimated time each machine is used for this service compared to total time.  Differs for each machine, and the operational costs are the same as the machine when specifically identifiable.</t>
    </r>
  </si>
  <si>
    <t>% Related to this Service</t>
  </si>
  <si>
    <r>
      <rPr>
        <b/>
        <u/>
        <sz val="8"/>
        <rFont val="Arial"/>
        <family val="2"/>
      </rPr>
      <t>Example Language:</t>
    </r>
    <r>
      <rPr>
        <sz val="8"/>
        <rFont val="Arial"/>
        <family val="2"/>
      </rPr>
      <t xml:space="preserve"> Analyzed total revenue for this Service Center of $1,000,000 per year.  Revenue from providing this specific testing has historically been about $250,000/year, so 25% used as allocated to this service. (Could also use study of % effort from all personnel or other reasonable method.</t>
    </r>
  </si>
  <si>
    <t>Office Supplies (paper clips, staples, etc.)</t>
  </si>
  <si>
    <r>
      <rPr>
        <b/>
        <sz val="10"/>
        <rFont val="Calibri"/>
        <family val="2"/>
        <scheme val="minor"/>
      </rPr>
      <t>The department can figure in anticipated capital needs</t>
    </r>
    <r>
      <rPr>
        <sz val="10"/>
        <rFont val="Calibri"/>
        <family val="2"/>
        <scheme val="minor"/>
      </rPr>
      <t xml:space="preserve"> within the next two years when considering inclusion of the cumulative surplus/deficit impact into the billing rates.</t>
    </r>
  </si>
  <si>
    <t>Submission Date:</t>
  </si>
  <si>
    <t>BILLABLE HOURS DETERMINATION</t>
  </si>
  <si>
    <r>
      <rPr>
        <b/>
        <u/>
        <sz val="8"/>
        <rFont val="Arial"/>
        <family val="2"/>
      </rPr>
      <t>Billable Hours Example Language:</t>
    </r>
    <r>
      <rPr>
        <sz val="8"/>
        <rFont val="Arial"/>
        <family val="2"/>
      </rPr>
      <t xml:space="preserve"> Billable hours determined based on historical data plus known future demand.</t>
    </r>
  </si>
  <si>
    <t>Total % Effort on This Service/Acct**</t>
  </si>
  <si>
    <t>Max % Allowed</t>
  </si>
  <si>
    <t>&gt; Max?</t>
  </si>
  <si>
    <t>Note</t>
  </si>
  <si>
    <t>All items highlighted light blue are manually entered by FA.</t>
  </si>
  <si>
    <t>Internal</t>
  </si>
  <si>
    <t>Federal Grant</t>
  </si>
  <si>
    <t>Hour</t>
  </si>
  <si>
    <t>+/- Cumulative Prior Period Deficit or (Surplus) (NA for NEW Rates.  SEE PAGE/TAB 5)</t>
  </si>
  <si>
    <t>DIRECT COSTS (SEE PAGE/TAB 3 FOR DETAILS)</t>
  </si>
  <si>
    <t>INDIRECT COSTS (SEE PAGE/TAB 3 FOR DETAILS)</t>
  </si>
  <si>
    <t>EQUIPMENT USE (SEE PAGE/TAB 4 FOR DETAILS)</t>
  </si>
  <si>
    <t>TOTAL DIRECT PERSONNEL COSTS (to Page/Tab 1)</t>
  </si>
  <si>
    <t>TOTAL INDIRECT PERSONNEL COSTS (to Page/Tab 1)</t>
  </si>
  <si>
    <t>TOTAL INDIRECT COSTS (to Page/Tab 1)</t>
  </si>
  <si>
    <t>TOTAL DIRECT COSTS (to Page/Tab 1)</t>
  </si>
  <si>
    <t>TOTAL ANNUAL EQUIPMENT COSTS (to Page/Tab 1)</t>
  </si>
  <si>
    <t>NUMBER OF BILLABLE HOURS PER PAGE/TAB 1</t>
  </si>
  <si>
    <t>FOR FA USE ONLY: LEVEL OF EFFORT CHECK</t>
  </si>
  <si>
    <t>If update/renewal, complete lookback analysis on Page/Tab 6</t>
  </si>
  <si>
    <t>DIRECT MATERIALS:</t>
  </si>
  <si>
    <t>Costs charged to the revolving account that are specifically identifiable with relative ease and high degree of accuracy.  The expenses must be recorded on the revolving account and not a general fund or federal grant account.</t>
  </si>
  <si>
    <t>Total Direct Materials</t>
  </si>
  <si>
    <t>Total Other Direct</t>
  </si>
  <si>
    <t>UNADJUSTED CUMULATIVE SURPLUS (DEFICIT) FOR THE SERVICE</t>
  </si>
  <si>
    <t>LESS ALLOWABLE CUMULATIVE SURPLUS NOT EXCEEDING 10% OF ANNUAL OPERATING EXPENSES</t>
  </si>
  <si>
    <t>ADJUSTED CUMULATIVE SURPLUS (DEFICIT) FOR RATE ALLOCATION</t>
  </si>
  <si>
    <t>LOOKBACK PERCENTAGE USED FOR RATE ALLOCATION</t>
  </si>
  <si>
    <t xml:space="preserve"> PER BILLABLE HOUR (to Page/Tab 1)</t>
  </si>
  <si>
    <t>CUMULATIVE LOOKBACK REDUCTION (RECOVERY) USED FOR RATE</t>
  </si>
  <si>
    <t>Account #:</t>
  </si>
  <si>
    <t>Sub Account #:</t>
  </si>
  <si>
    <t>[1]</t>
  </si>
  <si>
    <t>[2]</t>
  </si>
  <si>
    <t>[4]</t>
  </si>
  <si>
    <t>[3]</t>
  </si>
  <si>
    <t>Allowable costs should include only the current year’s depreciation, not the current year’s purchases.</t>
  </si>
  <si>
    <t>Depreciable lives used for rates cannot be shorter than those used by the University without written justification.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</si>
</sst>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quot;$&quot;#,##0.00"/>
    <numFmt numFmtId="167" formatCode="_(&quot;$&quot;* #,##0_);_(&quot;$&quot;* \(#,##0\);_(&quot;$&quot;* &quot;-&quot;??_);_(@_)"/>
    <numFmt numFmtId="168" formatCode="_(* #,##0_);_(* \(#,##0\);_(* &quot;-&quot;??_);_(@_)"/>
  </numFmts>
  <fonts count="41" x14ac:knownFonts="1">
    <font>
      <sz val="8"/>
      <name val="Arial"/>
    </font>
    <font>
      <sz val="8"/>
      <name val="Arial"/>
      <family val="2"/>
    </font>
    <font>
      <b/>
      <sz val="8"/>
      <name val="Arial"/>
      <family val="2"/>
    </font>
    <font>
      <b/>
      <sz val="10"/>
      <name val="Arial"/>
      <family val="2"/>
    </font>
    <font>
      <sz val="8"/>
      <name val="Arial"/>
      <family val="2"/>
    </font>
    <font>
      <sz val="8"/>
      <color indexed="20"/>
      <name val="Arial"/>
      <family val="2"/>
    </font>
    <font>
      <b/>
      <sz val="9"/>
      <color indexed="10"/>
      <name val="Arial"/>
      <family val="2"/>
    </font>
    <font>
      <sz val="9"/>
      <name val="Arial"/>
      <family val="2"/>
    </font>
    <font>
      <i/>
      <sz val="8"/>
      <name val="Arial"/>
      <family val="2"/>
    </font>
    <font>
      <sz val="10"/>
      <name val="Calibri"/>
      <family val="2"/>
    </font>
    <font>
      <b/>
      <sz val="10"/>
      <name val="Calibri"/>
      <family val="2"/>
    </font>
    <font>
      <sz val="10"/>
      <name val="Calibri"/>
      <family val="2"/>
      <scheme val="minor"/>
    </font>
    <font>
      <b/>
      <sz val="10"/>
      <name val="Calibri"/>
      <family val="2"/>
      <scheme val="minor"/>
    </font>
    <font>
      <sz val="8"/>
      <color rgb="FF00B050"/>
      <name val="Arial"/>
      <family val="2"/>
    </font>
    <font>
      <sz val="10"/>
      <color rgb="FF00B050"/>
      <name val="Calibri"/>
      <family val="2"/>
      <scheme val="minor"/>
    </font>
    <font>
      <sz val="12"/>
      <name val="Calibri"/>
      <family val="2"/>
      <scheme val="minor"/>
    </font>
    <font>
      <b/>
      <sz val="12"/>
      <name val="Calibri"/>
      <family val="2"/>
      <scheme val="minor"/>
    </font>
    <font>
      <b/>
      <sz val="12"/>
      <color rgb="FFFF0000"/>
      <name val="Calibri"/>
      <family val="2"/>
      <scheme val="minor"/>
    </font>
    <font>
      <sz val="8"/>
      <name val="Calibri"/>
      <family val="2"/>
      <scheme val="minor"/>
    </font>
    <font>
      <b/>
      <sz val="8"/>
      <name val="Calibri"/>
      <family val="2"/>
      <scheme val="minor"/>
    </font>
    <font>
      <i/>
      <sz val="10"/>
      <name val="Calibri"/>
      <family val="2"/>
      <scheme val="minor"/>
    </font>
    <font>
      <b/>
      <i/>
      <sz val="10"/>
      <name val="Calibri"/>
      <family val="2"/>
      <scheme val="minor"/>
    </font>
    <font>
      <b/>
      <sz val="14"/>
      <name val="Calibri"/>
      <family val="2"/>
      <scheme val="minor"/>
    </font>
    <font>
      <b/>
      <sz val="11"/>
      <name val="Calibri"/>
      <family val="2"/>
      <scheme val="minor"/>
    </font>
    <font>
      <b/>
      <u/>
      <sz val="10"/>
      <color rgb="FF0000FF"/>
      <name val="Calibri"/>
      <family val="2"/>
      <scheme val="minor"/>
    </font>
    <font>
      <u/>
      <sz val="8"/>
      <color theme="10"/>
      <name val="Arial"/>
      <family val="2"/>
    </font>
    <font>
      <sz val="8"/>
      <color rgb="FFFF0000"/>
      <name val="Arial"/>
      <family val="2"/>
    </font>
    <font>
      <sz val="8"/>
      <color rgb="FF0070C0"/>
      <name val="Calibri"/>
      <family val="2"/>
      <scheme val="minor"/>
    </font>
    <font>
      <b/>
      <sz val="8"/>
      <color rgb="FF0070C0"/>
      <name val="Arial"/>
      <family val="2"/>
    </font>
    <font>
      <sz val="10"/>
      <color rgb="FF0070C0"/>
      <name val="Calibri"/>
      <family val="2"/>
      <scheme val="minor"/>
    </font>
    <font>
      <b/>
      <sz val="8"/>
      <color rgb="FF0070C0"/>
      <name val="Calibri"/>
      <family val="2"/>
      <scheme val="minor"/>
    </font>
    <font>
      <b/>
      <sz val="12"/>
      <color rgb="FF0070C0"/>
      <name val="Calibri"/>
      <family val="2"/>
      <scheme val="minor"/>
    </font>
    <font>
      <sz val="8"/>
      <color rgb="FF0070C0"/>
      <name val="Arial"/>
      <family val="2"/>
    </font>
    <font>
      <b/>
      <sz val="10"/>
      <color rgb="FF0070C0"/>
      <name val="Calibri"/>
      <family val="2"/>
      <scheme val="minor"/>
    </font>
    <font>
      <sz val="14"/>
      <name val="Calibri"/>
      <family val="2"/>
      <scheme val="minor"/>
    </font>
    <font>
      <sz val="14"/>
      <color rgb="FF0070C0"/>
      <name val="Calibri"/>
      <family val="2"/>
      <scheme val="minor"/>
    </font>
    <font>
      <b/>
      <u/>
      <sz val="8"/>
      <name val="Arial"/>
      <family val="2"/>
    </font>
    <font>
      <b/>
      <sz val="9"/>
      <color indexed="81"/>
      <name val="Tahoma"/>
      <family val="2"/>
    </font>
    <font>
      <sz val="9"/>
      <color indexed="81"/>
      <name val="Tahoma"/>
      <family val="2"/>
    </font>
    <font>
      <b/>
      <u/>
      <sz val="8"/>
      <name val="Calibri"/>
      <family val="2"/>
      <scheme val="minor"/>
    </font>
    <font>
      <b/>
      <sz val="8"/>
      <color rgb="FFFF0000"/>
      <name val="Arial"/>
      <family val="2"/>
    </font>
  </fonts>
  <fills count="9">
    <fill>
      <patternFill patternType="none"/>
    </fill>
    <fill>
      <patternFill patternType="gray125"/>
    </fill>
    <fill>
      <patternFill patternType="solid">
        <fgColor indexed="22"/>
        <bgColor indexed="64"/>
      </patternFill>
    </fill>
    <fill>
      <patternFill patternType="solid">
        <fgColor theme="6"/>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C0C0C0"/>
        <bgColor indexed="64"/>
      </patternFill>
    </fill>
    <fill>
      <patternFill patternType="solid">
        <fgColor theme="9" tint="0.79998168889431442"/>
        <bgColor indexed="64"/>
      </patternFill>
    </fill>
    <fill>
      <patternFill patternType="solid">
        <fgColor theme="8" tint="0.79998168889431442"/>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5" fillId="0" borderId="0" applyNumberFormat="0" applyFill="0" applyBorder="0" applyAlignment="0" applyProtection="0">
      <alignment vertical="top"/>
      <protection locked="0"/>
    </xf>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270">
    <xf numFmtId="0" fontId="0" fillId="0" borderId="0" xfId="0"/>
    <xf numFmtId="0" fontId="2" fillId="0" borderId="0" xfId="0" applyFont="1" applyAlignment="1">
      <alignment horizontal="center"/>
    </xf>
    <xf numFmtId="0" fontId="2" fillId="0" borderId="1" xfId="0" applyFont="1" applyBorder="1" applyAlignment="1">
      <alignment horizontal="center" wrapText="1"/>
    </xf>
    <xf numFmtId="0" fontId="0" fillId="0" borderId="0" xfId="0" applyAlignment="1">
      <alignment horizontal="center"/>
    </xf>
    <xf numFmtId="49" fontId="0" fillId="0" borderId="0" xfId="0" applyNumberFormat="1" applyAlignment="1">
      <alignment horizontal="center"/>
    </xf>
    <xf numFmtId="164" fontId="0" fillId="0" borderId="0" xfId="0" applyNumberFormat="1"/>
    <xf numFmtId="10" fontId="0" fillId="0" borderId="0" xfId="3" applyNumberFormat="1" applyFont="1" applyAlignment="1">
      <alignment horizontal="center"/>
    </xf>
    <xf numFmtId="0" fontId="3" fillId="2" borderId="0" xfId="0" applyFont="1" applyFill="1"/>
    <xf numFmtId="0" fontId="0" fillId="2" borderId="0" xfId="0" applyFill="1"/>
    <xf numFmtId="49" fontId="0" fillId="2" borderId="0" xfId="0" applyNumberFormat="1" applyFill="1" applyAlignment="1">
      <alignment horizontal="center"/>
    </xf>
    <xf numFmtId="164" fontId="0" fillId="2" borderId="0" xfId="0" applyNumberFormat="1" applyFill="1"/>
    <xf numFmtId="0" fontId="0" fillId="2" borderId="0" xfId="0" applyFill="1" applyAlignment="1">
      <alignment horizontal="center"/>
    </xf>
    <xf numFmtId="164" fontId="0" fillId="0" borderId="1" xfId="0" applyNumberFormat="1" applyBorder="1"/>
    <xf numFmtId="0" fontId="4" fillId="0" borderId="0" xfId="0" applyFont="1"/>
    <xf numFmtId="49" fontId="4" fillId="0" borderId="0" xfId="0" applyNumberFormat="1" applyFont="1" applyAlignment="1">
      <alignment horizontal="center"/>
    </xf>
    <xf numFmtId="164" fontId="4" fillId="0" borderId="0" xfId="0" applyNumberFormat="1" applyFont="1"/>
    <xf numFmtId="0" fontId="4" fillId="0" borderId="0" xfId="0" applyFont="1" applyAlignment="1">
      <alignment horizontal="center"/>
    </xf>
    <xf numFmtId="0" fontId="2" fillId="0" borderId="0" xfId="0" applyFont="1" applyAlignment="1">
      <alignment horizontal="right"/>
    </xf>
    <xf numFmtId="0" fontId="2" fillId="0" borderId="2" xfId="0" applyFont="1" applyBorder="1" applyAlignment="1">
      <alignment horizontal="center" wrapText="1"/>
    </xf>
    <xf numFmtId="0" fontId="5" fillId="0" borderId="0" xfId="0" applyFont="1"/>
    <xf numFmtId="44" fontId="0" fillId="0" borderId="0" xfId="2" applyFont="1"/>
    <xf numFmtId="49" fontId="6" fillId="0" borderId="0" xfId="0" applyNumberFormat="1" applyFont="1" applyAlignment="1">
      <alignment horizontal="left"/>
    </xf>
    <xf numFmtId="0" fontId="6" fillId="0" borderId="0" xfId="0" applyFont="1"/>
    <xf numFmtId="0" fontId="7" fillId="0" borderId="0" xfId="0" applyFont="1"/>
    <xf numFmtId="0" fontId="2" fillId="0" borderId="0" xfId="0" applyFont="1"/>
    <xf numFmtId="166" fontId="0" fillId="0" borderId="0" xfId="0" applyNumberFormat="1"/>
    <xf numFmtId="10" fontId="0" fillId="0" borderId="0" xfId="3" applyNumberFormat="1" applyFont="1" applyBorder="1" applyAlignment="1">
      <alignment horizontal="right"/>
    </xf>
    <xf numFmtId="10" fontId="2" fillId="0" borderId="0" xfId="3" applyNumberFormat="1" applyFont="1" applyBorder="1" applyAlignment="1">
      <alignment horizontal="right"/>
    </xf>
    <xf numFmtId="165" fontId="0" fillId="0" borderId="0" xfId="0" applyNumberFormat="1" applyAlignment="1">
      <alignment horizontal="center"/>
    </xf>
    <xf numFmtId="164" fontId="2" fillId="0" borderId="0" xfId="0" applyNumberFormat="1" applyFont="1"/>
    <xf numFmtId="166" fontId="0" fillId="0" borderId="0" xfId="3" applyNumberFormat="1" applyFont="1" applyBorder="1" applyAlignment="1">
      <alignment horizontal="right"/>
    </xf>
    <xf numFmtId="10" fontId="4" fillId="0" borderId="0" xfId="3" applyNumberFormat="1" applyFont="1" applyBorder="1" applyAlignment="1">
      <alignment horizontal="right"/>
    </xf>
    <xf numFmtId="0" fontId="0" fillId="0" borderId="1" xfId="0" applyBorder="1"/>
    <xf numFmtId="49" fontId="0" fillId="0" borderId="1" xfId="0" applyNumberFormat="1" applyBorder="1" applyAlignment="1">
      <alignment horizontal="center"/>
    </xf>
    <xf numFmtId="10" fontId="4" fillId="0" borderId="1" xfId="3" applyNumberFormat="1" applyFont="1" applyBorder="1" applyAlignment="1">
      <alignment horizontal="right"/>
    </xf>
    <xf numFmtId="166" fontId="0" fillId="0" borderId="1" xfId="3" applyNumberFormat="1" applyFont="1" applyBorder="1" applyAlignment="1">
      <alignment horizontal="right"/>
    </xf>
    <xf numFmtId="166" fontId="2" fillId="0" borderId="0" xfId="0" applyNumberFormat="1" applyFont="1"/>
    <xf numFmtId="41" fontId="0" fillId="0" borderId="0" xfId="0" applyNumberFormat="1"/>
    <xf numFmtId="41" fontId="2" fillId="0" borderId="0" xfId="0" applyNumberFormat="1" applyFont="1" applyAlignment="1">
      <alignment horizontal="center"/>
    </xf>
    <xf numFmtId="41" fontId="0" fillId="0" borderId="1" xfId="0" applyNumberFormat="1" applyBorder="1"/>
    <xf numFmtId="0" fontId="2" fillId="0" borderId="0" xfId="0" applyFont="1" applyAlignment="1">
      <alignment horizontal="center" wrapText="1"/>
    </xf>
    <xf numFmtId="42" fontId="0" fillId="0" borderId="0" xfId="0" applyNumberFormat="1"/>
    <xf numFmtId="41" fontId="2" fillId="0" borderId="0" xfId="0" applyNumberFormat="1" applyFont="1"/>
    <xf numFmtId="0" fontId="11" fillId="0" borderId="0" xfId="0" applyFont="1"/>
    <xf numFmtId="0" fontId="11" fillId="0" borderId="1" xfId="0" applyFont="1" applyBorder="1"/>
    <xf numFmtId="0" fontId="12" fillId="0" borderId="0" xfId="0" applyFont="1"/>
    <xf numFmtId="0" fontId="11" fillId="0" borderId="0" xfId="0" applyFont="1" applyAlignment="1">
      <alignment horizontal="left"/>
    </xf>
    <xf numFmtId="9" fontId="0" fillId="0" borderId="0" xfId="3" applyFont="1" applyAlignment="1">
      <alignment horizontal="center"/>
    </xf>
    <xf numFmtId="0" fontId="13" fillId="0" borderId="0" xfId="0" applyFont="1"/>
    <xf numFmtId="0" fontId="14" fillId="0" borderId="0" xfId="0" applyFont="1"/>
    <xf numFmtId="41" fontId="0" fillId="0" borderId="3" xfId="0" applyNumberFormat="1" applyBorder="1"/>
    <xf numFmtId="3" fontId="0" fillId="0" borderId="0" xfId="0" applyNumberFormat="1" applyAlignment="1">
      <alignment horizontal="right"/>
    </xf>
    <xf numFmtId="0" fontId="2" fillId="0" borderId="2" xfId="0" applyFont="1" applyBorder="1" applyAlignment="1">
      <alignment wrapText="1"/>
    </xf>
    <xf numFmtId="167" fontId="0" fillId="0" borderId="0" xfId="2" applyNumberFormat="1" applyFont="1"/>
    <xf numFmtId="44" fontId="13" fillId="0" borderId="0" xfId="2" applyFont="1" applyBorder="1"/>
    <xf numFmtId="0" fontId="13" fillId="0" borderId="0" xfId="0" applyFont="1" applyAlignment="1">
      <alignment horizontal="left" vertical="center" wrapText="1"/>
    </xf>
    <xf numFmtId="0" fontId="2" fillId="0" borderId="6" xfId="0" applyFont="1" applyBorder="1" applyAlignment="1">
      <alignment horizontal="left"/>
    </xf>
    <xf numFmtId="0" fontId="2" fillId="0" borderId="6" xfId="0" applyFont="1" applyBorder="1" applyAlignment="1">
      <alignment horizontal="left" wrapText="1"/>
    </xf>
    <xf numFmtId="49" fontId="2" fillId="0" borderId="6" xfId="0" applyNumberFormat="1" applyFont="1" applyBorder="1" applyAlignment="1">
      <alignment horizontal="center" wrapText="1"/>
    </xf>
    <xf numFmtId="0" fontId="2" fillId="0" borderId="6" xfId="0" applyFont="1" applyBorder="1" applyAlignment="1">
      <alignment horizontal="center" wrapText="1"/>
    </xf>
    <xf numFmtId="0" fontId="2" fillId="0" borderId="6" xfId="0" applyFont="1" applyBorder="1" applyAlignment="1">
      <alignment horizontal="center"/>
    </xf>
    <xf numFmtId="0" fontId="2" fillId="0" borderId="6" xfId="0" applyFont="1" applyBorder="1" applyAlignment="1">
      <alignment wrapText="1"/>
    </xf>
    <xf numFmtId="0" fontId="0" fillId="0" borderId="3" xfId="0" applyBorder="1"/>
    <xf numFmtId="41" fontId="2" fillId="0" borderId="6" xfId="0" applyNumberFormat="1" applyFont="1" applyBorder="1" applyAlignment="1">
      <alignment horizontal="center" wrapText="1"/>
    </xf>
    <xf numFmtId="0" fontId="11" fillId="0" borderId="0" xfId="0" applyFont="1" applyAlignment="1">
      <alignment horizontal="right"/>
    </xf>
    <xf numFmtId="0" fontId="12" fillId="0" borderId="0" xfId="0" applyFont="1" applyAlignment="1">
      <alignment horizontal="right"/>
    </xf>
    <xf numFmtId="0" fontId="18" fillId="0" borderId="0" xfId="0" applyFont="1"/>
    <xf numFmtId="41" fontId="18" fillId="0" borderId="0" xfId="0" applyNumberFormat="1" applyFont="1"/>
    <xf numFmtId="0" fontId="19" fillId="0" borderId="1" xfId="0" applyFont="1" applyBorder="1"/>
    <xf numFmtId="41" fontId="19" fillId="0" borderId="0" xfId="0" applyNumberFormat="1" applyFont="1" applyAlignment="1">
      <alignment horizontal="center"/>
    </xf>
    <xf numFmtId="0" fontId="11" fillId="4" borderId="2" xfId="0" applyFont="1" applyFill="1" applyBorder="1"/>
    <xf numFmtId="0" fontId="11" fillId="4" borderId="7" xfId="0" applyFont="1" applyFill="1" applyBorder="1"/>
    <xf numFmtId="41" fontId="19" fillId="0" borderId="1" xfId="0" applyNumberFormat="1" applyFont="1" applyBorder="1" applyAlignment="1">
      <alignment horizontal="center" wrapText="1"/>
    </xf>
    <xf numFmtId="0" fontId="19" fillId="0" borderId="0" xfId="0" applyFont="1" applyAlignment="1">
      <alignment horizontal="right"/>
    </xf>
    <xf numFmtId="0" fontId="18" fillId="4" borderId="2" xfId="0" applyFont="1" applyFill="1" applyBorder="1"/>
    <xf numFmtId="0" fontId="18" fillId="4" borderId="7" xfId="0" applyFont="1" applyFill="1" applyBorder="1"/>
    <xf numFmtId="0" fontId="16" fillId="0" borderId="1" xfId="0" applyFont="1" applyBorder="1"/>
    <xf numFmtId="0" fontId="16" fillId="4" borderId="8" xfId="0" applyFont="1" applyFill="1" applyBorder="1"/>
    <xf numFmtId="0" fontId="20" fillId="0" borderId="0" xfId="0" applyFont="1"/>
    <xf numFmtId="0" fontId="20" fillId="0" borderId="9" xfId="0" applyFont="1" applyBorder="1"/>
    <xf numFmtId="0" fontId="21" fillId="0" borderId="10" xfId="0" applyFont="1" applyBorder="1"/>
    <xf numFmtId="0" fontId="3" fillId="0" borderId="0" xfId="0" applyFont="1"/>
    <xf numFmtId="0" fontId="12" fillId="0" borderId="1" xfId="0" applyFont="1" applyBorder="1"/>
    <xf numFmtId="0" fontId="22" fillId="0" borderId="1" xfId="0" applyFont="1" applyBorder="1"/>
    <xf numFmtId="0" fontId="22" fillId="0" borderId="0" xfId="0" applyFont="1"/>
    <xf numFmtId="0" fontId="14" fillId="0" borderId="0" xfId="0" applyFont="1" applyAlignment="1">
      <alignment horizontal="left"/>
    </xf>
    <xf numFmtId="0" fontId="20" fillId="0" borderId="0" xfId="0" applyFont="1" applyAlignment="1">
      <alignment horizontal="left"/>
    </xf>
    <xf numFmtId="0" fontId="12" fillId="2" borderId="0" xfId="0" applyFont="1" applyFill="1"/>
    <xf numFmtId="44" fontId="11" fillId="0" borderId="0" xfId="2" applyFont="1"/>
    <xf numFmtId="0" fontId="12" fillId="0" borderId="0" xfId="0" applyFont="1" applyAlignment="1">
      <alignment horizontal="left" vertical="top" wrapText="1"/>
    </xf>
    <xf numFmtId="0" fontId="12" fillId="0" borderId="0" xfId="0" applyFont="1" applyAlignment="1">
      <alignment horizontal="left" vertical="top"/>
    </xf>
    <xf numFmtId="0" fontId="26" fillId="0" borderId="0" xfId="0" applyFont="1"/>
    <xf numFmtId="49" fontId="26" fillId="0" borderId="0" xfId="0" applyNumberFormat="1" applyFont="1" applyAlignment="1">
      <alignment horizontal="center"/>
    </xf>
    <xf numFmtId="164" fontId="26" fillId="0" borderId="0" xfId="0" applyNumberFormat="1" applyFont="1"/>
    <xf numFmtId="0" fontId="26" fillId="0" borderId="0" xfId="0" applyFont="1" applyAlignment="1">
      <alignment horizontal="center"/>
    </xf>
    <xf numFmtId="0" fontId="26" fillId="0" borderId="0" xfId="0" applyFont="1" applyAlignment="1">
      <alignment horizontal="left" indent="2"/>
    </xf>
    <xf numFmtId="0" fontId="25" fillId="0" borderId="0" xfId="4" applyAlignment="1" applyProtection="1"/>
    <xf numFmtId="49" fontId="25" fillId="0" borderId="0" xfId="4" applyNumberFormat="1" applyAlignment="1" applyProtection="1">
      <alignment horizontal="center"/>
    </xf>
    <xf numFmtId="164" fontId="25" fillId="0" borderId="0" xfId="4" applyNumberFormat="1" applyAlignment="1" applyProtection="1"/>
    <xf numFmtId="0" fontId="4" fillId="0" borderId="0" xfId="0" applyFont="1" applyAlignment="1">
      <alignment horizontal="left"/>
    </xf>
    <xf numFmtId="0" fontId="20" fillId="0" borderId="21" xfId="0" applyFont="1" applyBorder="1"/>
    <xf numFmtId="44" fontId="11" fillId="0" borderId="0" xfId="2" applyFont="1" applyBorder="1"/>
    <xf numFmtId="44" fontId="17" fillId="0" borderId="0" xfId="8" applyNumberFormat="1" applyFont="1"/>
    <xf numFmtId="0" fontId="16" fillId="0" borderId="0" xfId="8" applyFont="1" applyAlignment="1">
      <alignment horizontal="right"/>
    </xf>
    <xf numFmtId="0" fontId="12" fillId="0" borderId="1" xfId="0" applyFont="1" applyBorder="1" applyAlignment="1">
      <alignment horizontal="center" wrapText="1"/>
    </xf>
    <xf numFmtId="0" fontId="23" fillId="0" borderId="0" xfId="0" applyFont="1"/>
    <xf numFmtId="44" fontId="18" fillId="0" borderId="0" xfId="2" applyFont="1" applyFill="1"/>
    <xf numFmtId="0" fontId="10" fillId="0" borderId="0" xfId="0" applyFont="1" applyAlignment="1">
      <alignment horizontal="left" vertical="top"/>
    </xf>
    <xf numFmtId="0" fontId="15" fillId="0" borderId="0" xfId="0" applyFont="1"/>
    <xf numFmtId="167" fontId="27" fillId="0" borderId="0" xfId="0" applyNumberFormat="1" applyFont="1"/>
    <xf numFmtId="41" fontId="27" fillId="0" borderId="0" xfId="0" applyNumberFormat="1" applyFont="1"/>
    <xf numFmtId="167" fontId="28" fillId="0" borderId="3" xfId="0" applyNumberFormat="1" applyFont="1" applyBorder="1"/>
    <xf numFmtId="0" fontId="29" fillId="0" borderId="0" xfId="0" applyFont="1"/>
    <xf numFmtId="167" fontId="30" fillId="0" borderId="3" xfId="0" applyNumberFormat="1" applyFont="1" applyBorder="1"/>
    <xf numFmtId="0" fontId="27" fillId="0" borderId="0" xfId="0" applyFont="1"/>
    <xf numFmtId="167" fontId="30" fillId="0" borderId="0" xfId="0" applyNumberFormat="1" applyFont="1"/>
    <xf numFmtId="44" fontId="30" fillId="0" borderId="3" xfId="0" applyNumberFormat="1" applyFont="1" applyBorder="1"/>
    <xf numFmtId="44" fontId="30" fillId="0" borderId="0" xfId="0" applyNumberFormat="1" applyFont="1"/>
    <xf numFmtId="44" fontId="31" fillId="0" borderId="5" xfId="8" applyNumberFormat="1" applyFont="1" applyBorder="1"/>
    <xf numFmtId="164" fontId="32" fillId="0" borderId="0" xfId="0" applyNumberFormat="1" applyFont="1"/>
    <xf numFmtId="166" fontId="32" fillId="0" borderId="0" xfId="0" applyNumberFormat="1" applyFont="1"/>
    <xf numFmtId="164" fontId="28" fillId="0" borderId="3" xfId="0" applyNumberFormat="1" applyFont="1" applyBorder="1"/>
    <xf numFmtId="164" fontId="28" fillId="0" borderId="3" xfId="3" applyNumberFormat="1" applyFont="1" applyBorder="1" applyAlignment="1">
      <alignment horizontal="right"/>
    </xf>
    <xf numFmtId="164" fontId="28" fillId="3" borderId="4" xfId="0" applyNumberFormat="1" applyFont="1" applyFill="1" applyBorder="1"/>
    <xf numFmtId="167" fontId="28" fillId="3" borderId="5" xfId="2" applyNumberFormat="1" applyFont="1" applyFill="1" applyBorder="1"/>
    <xf numFmtId="42" fontId="32" fillId="0" borderId="0" xfId="0" applyNumberFormat="1" applyFont="1"/>
    <xf numFmtId="44" fontId="32" fillId="0" borderId="0" xfId="0" applyNumberFormat="1" applyFont="1"/>
    <xf numFmtId="0" fontId="32" fillId="0" borderId="0" xfId="0" applyFont="1"/>
    <xf numFmtId="42" fontId="28" fillId="0" borderId="3" xfId="0" applyNumberFormat="1" applyFont="1" applyBorder="1"/>
    <xf numFmtId="42" fontId="32" fillId="0" borderId="3" xfId="0" applyNumberFormat="1" applyFont="1" applyBorder="1"/>
    <xf numFmtId="42" fontId="28" fillId="3" borderId="5" xfId="0" applyNumberFormat="1" applyFont="1" applyFill="1" applyBorder="1"/>
    <xf numFmtId="44" fontId="29" fillId="0" borderId="0" xfId="2" applyFont="1" applyFill="1"/>
    <xf numFmtId="44" fontId="33" fillId="0" borderId="0" xfId="2" applyFont="1" applyFill="1"/>
    <xf numFmtId="44" fontId="33" fillId="0" borderId="3" xfId="2" applyFont="1" applyBorder="1"/>
    <xf numFmtId="44" fontId="29" fillId="0" borderId="0" xfId="2" applyFont="1"/>
    <xf numFmtId="10" fontId="29" fillId="0" borderId="0" xfId="7" applyNumberFormat="1" applyFont="1" applyFill="1"/>
    <xf numFmtId="168" fontId="33" fillId="0" borderId="0" xfId="1" applyNumberFormat="1" applyFont="1" applyFill="1"/>
    <xf numFmtId="0" fontId="34" fillId="0" borderId="0" xfId="0" applyFont="1"/>
    <xf numFmtId="0" fontId="11" fillId="0" borderId="0" xfId="9" applyFont="1"/>
    <xf numFmtId="0" fontId="11" fillId="0" borderId="23" xfId="0" applyFont="1" applyBorder="1"/>
    <xf numFmtId="0" fontId="11" fillId="0" borderId="24" xfId="0" applyFont="1" applyBorder="1"/>
    <xf numFmtId="0" fontId="11" fillId="0" borderId="25" xfId="0" applyFont="1" applyBorder="1"/>
    <xf numFmtId="0" fontId="11" fillId="0" borderId="26" xfId="0" applyFont="1" applyBorder="1"/>
    <xf numFmtId="0" fontId="11" fillId="0" borderId="27" xfId="0" applyFont="1" applyBorder="1"/>
    <xf numFmtId="0" fontId="34" fillId="7" borderId="0" xfId="0" applyFont="1" applyFill="1"/>
    <xf numFmtId="0" fontId="11" fillId="7" borderId="0" xfId="0" applyFont="1" applyFill="1"/>
    <xf numFmtId="0" fontId="11" fillId="0" borderId="28" xfId="0" applyFont="1" applyBorder="1"/>
    <xf numFmtId="0" fontId="11" fillId="0" borderId="29" xfId="0" applyFont="1" applyBorder="1"/>
    <xf numFmtId="0" fontId="11" fillId="0" borderId="30" xfId="0" applyFont="1" applyBorder="1"/>
    <xf numFmtId="0" fontId="12" fillId="0" borderId="0" xfId="0" applyFont="1" applyAlignment="1">
      <alignment vertical="center"/>
    </xf>
    <xf numFmtId="0" fontId="11" fillId="7" borderId="1" xfId="0" applyFont="1" applyFill="1" applyBorder="1" applyAlignment="1">
      <alignment horizontal="left"/>
    </xf>
    <xf numFmtId="0" fontId="1" fillId="7" borderId="0" xfId="0" applyFont="1" applyFill="1"/>
    <xf numFmtId="9" fontId="1" fillId="7" borderId="0" xfId="3" applyFont="1" applyFill="1" applyAlignment="1">
      <alignment horizontal="center"/>
    </xf>
    <xf numFmtId="164" fontId="1" fillId="7" borderId="0" xfId="0" applyNumberFormat="1" applyFont="1" applyFill="1"/>
    <xf numFmtId="10" fontId="1" fillId="7" borderId="0" xfId="3" applyNumberFormat="1" applyFont="1" applyFill="1" applyBorder="1" applyAlignment="1">
      <alignment horizontal="center"/>
    </xf>
    <xf numFmtId="9" fontId="1" fillId="7" borderId="0" xfId="3" applyFont="1" applyFill="1" applyBorder="1" applyAlignment="1">
      <alignment horizontal="center"/>
    </xf>
    <xf numFmtId="10" fontId="1" fillId="7" borderId="0" xfId="3" applyNumberFormat="1" applyFont="1" applyFill="1" applyAlignment="1">
      <alignment horizontal="center"/>
    </xf>
    <xf numFmtId="44" fontId="1" fillId="7" borderId="0" xfId="2" applyFont="1" applyFill="1"/>
    <xf numFmtId="168" fontId="1" fillId="7" borderId="0" xfId="1" applyNumberFormat="1" applyFont="1" applyFill="1" applyBorder="1" applyAlignment="1">
      <alignment horizontal="center"/>
    </xf>
    <xf numFmtId="166" fontId="1" fillId="7" borderId="0" xfId="0" applyNumberFormat="1" applyFont="1" applyFill="1"/>
    <xf numFmtId="44" fontId="1" fillId="7" borderId="0" xfId="2" applyFont="1" applyFill="1" applyBorder="1"/>
    <xf numFmtId="42" fontId="1" fillId="7" borderId="0" xfId="0" applyNumberFormat="1" applyFont="1" applyFill="1"/>
    <xf numFmtId="0" fontId="1" fillId="7" borderId="0" xfId="0" applyFont="1" applyFill="1" applyAlignment="1">
      <alignment horizontal="center"/>
    </xf>
    <xf numFmtId="9" fontId="1" fillId="7" borderId="0" xfId="3" applyFont="1" applyFill="1"/>
    <xf numFmtId="41" fontId="1" fillId="7" borderId="0" xfId="0" applyNumberFormat="1" applyFont="1" applyFill="1"/>
    <xf numFmtId="9" fontId="1" fillId="7" borderId="3" xfId="3" applyFont="1" applyFill="1" applyBorder="1"/>
    <xf numFmtId="0" fontId="34" fillId="8" borderId="0" xfId="0" applyFont="1" applyFill="1"/>
    <xf numFmtId="0" fontId="11" fillId="8" borderId="0" xfId="0" applyFont="1" applyFill="1"/>
    <xf numFmtId="0" fontId="1" fillId="0" borderId="0" xfId="0" applyFont="1"/>
    <xf numFmtId="0" fontId="2" fillId="0" borderId="8" xfId="0" applyFont="1" applyBorder="1" applyAlignment="1">
      <alignment wrapText="1"/>
    </xf>
    <xf numFmtId="14" fontId="1" fillId="7" borderId="0" xfId="0" applyNumberFormat="1" applyFont="1" applyFill="1" applyAlignment="1">
      <alignment horizontal="center"/>
    </xf>
    <xf numFmtId="2" fontId="32" fillId="0" borderId="0" xfId="0" applyNumberFormat="1" applyFont="1" applyAlignment="1">
      <alignment horizontal="center"/>
    </xf>
    <xf numFmtId="14" fontId="12" fillId="8" borderId="6" xfId="0" applyNumberFormat="1" applyFont="1" applyFill="1" applyBorder="1" applyAlignment="1">
      <alignment horizontal="left" vertical="top" wrapText="1"/>
    </xf>
    <xf numFmtId="44" fontId="11" fillId="8" borderId="0" xfId="2" applyFont="1" applyFill="1"/>
    <xf numFmtId="44" fontId="11" fillId="8" borderId="1" xfId="2" applyFont="1" applyFill="1" applyBorder="1"/>
    <xf numFmtId="44" fontId="29" fillId="8" borderId="0" xfId="2" applyFont="1" applyFill="1"/>
    <xf numFmtId="0" fontId="12" fillId="6" borderId="31" xfId="0" applyFont="1" applyFill="1" applyBorder="1"/>
    <xf numFmtId="0" fontId="18" fillId="6" borderId="32" xfId="0" applyFont="1" applyFill="1" applyBorder="1"/>
    <xf numFmtId="0" fontId="18" fillId="6" borderId="33" xfId="0" applyFont="1" applyFill="1" applyBorder="1"/>
    <xf numFmtId="10" fontId="29" fillId="8" borderId="0" xfId="3" applyNumberFormat="1" applyFont="1" applyFill="1" applyBorder="1"/>
    <xf numFmtId="44" fontId="33" fillId="5" borderId="5" xfId="12" applyFont="1" applyFill="1" applyBorder="1"/>
    <xf numFmtId="166" fontId="28" fillId="0" borderId="0" xfId="3" applyNumberFormat="1" applyFont="1" applyBorder="1" applyAlignment="1">
      <alignment horizontal="right"/>
    </xf>
    <xf numFmtId="10" fontId="32" fillId="0" borderId="0" xfId="3" applyNumberFormat="1" applyFont="1" applyFill="1" applyBorder="1" applyAlignment="1">
      <alignment horizontal="center"/>
    </xf>
    <xf numFmtId="0" fontId="32" fillId="0" borderId="0" xfId="0" applyFont="1" applyAlignment="1">
      <alignment horizontal="center"/>
    </xf>
    <xf numFmtId="44" fontId="29" fillId="0" borderId="3" xfId="12" applyFont="1" applyFill="1" applyBorder="1"/>
    <xf numFmtId="0" fontId="11" fillId="7" borderId="6" xfId="0" applyFont="1" applyFill="1" applyBorder="1" applyAlignment="1">
      <alignment vertical="center"/>
    </xf>
    <xf numFmtId="168" fontId="18" fillId="7" borderId="0" xfId="1" applyNumberFormat="1" applyFont="1" applyFill="1"/>
    <xf numFmtId="44" fontId="11" fillId="7" borderId="6" xfId="2" applyFont="1" applyFill="1" applyBorder="1" applyAlignment="1">
      <alignment vertical="center"/>
    </xf>
    <xf numFmtId="44" fontId="29" fillId="0" borderId="6" xfId="2" applyFont="1" applyFill="1" applyBorder="1" applyAlignment="1">
      <alignment vertical="center"/>
    </xf>
    <xf numFmtId="10" fontId="1" fillId="8" borderId="0" xfId="3" applyNumberFormat="1" applyFont="1" applyFill="1" applyAlignment="1">
      <alignment horizontal="center"/>
    </xf>
    <xf numFmtId="0" fontId="19" fillId="0" borderId="0" xfId="0" quotePrefix="1" applyFont="1" applyAlignment="1">
      <alignment horizontal="right"/>
    </xf>
    <xf numFmtId="0" fontId="11" fillId="7" borderId="6" xfId="0" applyFont="1" applyFill="1" applyBorder="1" applyAlignment="1">
      <alignment horizontal="center" vertical="center"/>
    </xf>
    <xf numFmtId="0" fontId="11" fillId="0" borderId="0" xfId="0" applyFont="1" applyAlignment="1">
      <alignment vertical="center"/>
    </xf>
    <xf numFmtId="0" fontId="0" fillId="7" borderId="0" xfId="0" applyFill="1"/>
    <xf numFmtId="10" fontId="33" fillId="0" borderId="0" xfId="7" applyNumberFormat="1" applyFont="1" applyFill="1"/>
    <xf numFmtId="44" fontId="33" fillId="0" borderId="0" xfId="2" applyFont="1" applyBorder="1"/>
    <xf numFmtId="44" fontId="33" fillId="0" borderId="0" xfId="2" applyFont="1" applyFill="1" applyBorder="1"/>
    <xf numFmtId="168" fontId="29" fillId="0" borderId="0" xfId="1" applyNumberFormat="1" applyFont="1" applyFill="1" applyBorder="1"/>
    <xf numFmtId="168" fontId="33" fillId="0" borderId="3" xfId="1" applyNumberFormat="1" applyFont="1" applyFill="1" applyBorder="1"/>
    <xf numFmtId="0" fontId="12" fillId="0" borderId="6" xfId="0" applyFont="1" applyBorder="1" applyAlignment="1">
      <alignment horizontal="center"/>
    </xf>
    <xf numFmtId="9" fontId="40" fillId="0" borderId="0" xfId="3" applyFont="1" applyAlignment="1">
      <alignment horizontal="left" vertical="center"/>
    </xf>
    <xf numFmtId="9" fontId="40" fillId="0" borderId="0" xfId="3" applyFont="1" applyAlignment="1">
      <alignment horizontal="center" vertical="top"/>
    </xf>
    <xf numFmtId="9" fontId="40" fillId="0" borderId="0" xfId="3" applyFont="1" applyAlignment="1">
      <alignment horizontal="center"/>
    </xf>
    <xf numFmtId="14" fontId="29" fillId="0" borderId="1" xfId="0" applyNumberFormat="1" applyFont="1" applyBorder="1" applyAlignment="1">
      <alignment horizontal="right"/>
    </xf>
    <xf numFmtId="14" fontId="11" fillId="8" borderId="1" xfId="0" applyNumberFormat="1" applyFont="1" applyFill="1" applyBorder="1" applyAlignment="1">
      <alignment horizontal="right"/>
    </xf>
    <xf numFmtId="168" fontId="11" fillId="8" borderId="0" xfId="11" applyNumberFormat="1" applyFont="1" applyFill="1"/>
    <xf numFmtId="0" fontId="3" fillId="4" borderId="31" xfId="0" applyFont="1" applyFill="1" applyBorder="1" applyAlignment="1">
      <alignment horizontal="left"/>
    </xf>
    <xf numFmtId="0" fontId="3" fillId="4" borderId="32" xfId="0" applyFont="1" applyFill="1" applyBorder="1" applyAlignment="1">
      <alignment horizontal="left"/>
    </xf>
    <xf numFmtId="0" fontId="3" fillId="4" borderId="33" xfId="0" applyFont="1" applyFill="1" applyBorder="1" applyAlignment="1">
      <alignment horizontal="left"/>
    </xf>
    <xf numFmtId="0" fontId="1" fillId="7" borderId="31" xfId="0" applyFont="1" applyFill="1" applyBorder="1" applyAlignment="1">
      <alignment horizontal="left" vertical="top" wrapText="1"/>
    </xf>
    <xf numFmtId="0" fontId="1" fillId="7" borderId="32" xfId="0" applyFont="1" applyFill="1" applyBorder="1" applyAlignment="1">
      <alignment horizontal="left" vertical="top" wrapText="1"/>
    </xf>
    <xf numFmtId="0" fontId="1" fillId="7" borderId="33" xfId="0" applyFont="1" applyFill="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20" fillId="0" borderId="0" xfId="0" applyFont="1" applyAlignment="1">
      <alignment horizontal="left" vertical="top" wrapText="1"/>
    </xf>
    <xf numFmtId="0" fontId="20" fillId="0" borderId="22" xfId="0" applyFont="1" applyBorder="1" applyAlignment="1">
      <alignment horizontal="left" vertical="top" wrapText="1"/>
    </xf>
    <xf numFmtId="0" fontId="20" fillId="0" borderId="19" xfId="0" applyFont="1" applyBorder="1" applyAlignment="1">
      <alignment horizontal="left" vertical="top" wrapText="1"/>
    </xf>
    <xf numFmtId="0" fontId="20" fillId="0" borderId="20" xfId="0" applyFont="1" applyBorder="1" applyAlignment="1">
      <alignment horizontal="left" vertical="top" wrapText="1"/>
    </xf>
    <xf numFmtId="14" fontId="11" fillId="7" borderId="1" xfId="0" applyNumberFormat="1" applyFont="1" applyFill="1" applyBorder="1" applyAlignment="1">
      <alignment horizontal="left"/>
    </xf>
    <xf numFmtId="0" fontId="11" fillId="7" borderId="1" xfId="0" applyFont="1" applyFill="1" applyBorder="1" applyAlignment="1">
      <alignment horizontal="left"/>
    </xf>
    <xf numFmtId="0" fontId="11" fillId="7" borderId="1" xfId="0" applyFont="1" applyFill="1" applyBorder="1" applyAlignment="1">
      <alignment horizontal="left" wrapText="1"/>
    </xf>
    <xf numFmtId="0" fontId="18" fillId="7" borderId="11" xfId="0" applyFont="1" applyFill="1" applyBorder="1" applyAlignment="1">
      <alignment horizontal="left" vertical="top" wrapText="1"/>
    </xf>
    <xf numFmtId="0" fontId="18" fillId="7" borderId="12" xfId="0" applyFont="1" applyFill="1" applyBorder="1" applyAlignment="1">
      <alignment horizontal="left" vertical="top" wrapText="1"/>
    </xf>
    <xf numFmtId="0" fontId="18" fillId="7" borderId="13" xfId="0" applyFont="1" applyFill="1" applyBorder="1" applyAlignment="1">
      <alignment horizontal="left" vertical="top" wrapText="1"/>
    </xf>
    <xf numFmtId="0" fontId="18" fillId="7" borderId="14" xfId="0" applyFont="1" applyFill="1" applyBorder="1" applyAlignment="1">
      <alignment horizontal="left" vertical="top" wrapText="1"/>
    </xf>
    <xf numFmtId="0" fontId="18" fillId="7" borderId="15" xfId="0" applyFont="1" applyFill="1" applyBorder="1" applyAlignment="1">
      <alignment horizontal="left" vertical="top" wrapText="1"/>
    </xf>
    <xf numFmtId="0" fontId="18" fillId="7" borderId="16" xfId="0" applyFont="1" applyFill="1" applyBorder="1" applyAlignment="1">
      <alignment horizontal="left" vertical="top" wrapText="1"/>
    </xf>
    <xf numFmtId="0" fontId="3" fillId="4" borderId="11" xfId="0" applyFont="1" applyFill="1" applyBorder="1" applyAlignment="1">
      <alignment horizontal="center"/>
    </xf>
    <xf numFmtId="0" fontId="3" fillId="4" borderId="3" xfId="0" applyFont="1" applyFill="1" applyBorder="1" applyAlignment="1">
      <alignment horizontal="center"/>
    </xf>
    <xf numFmtId="0" fontId="3" fillId="4" borderId="12" xfId="0" applyFont="1" applyFill="1" applyBorder="1" applyAlignment="1">
      <alignment horizontal="center"/>
    </xf>
    <xf numFmtId="0" fontId="1" fillId="7" borderId="8" xfId="0" applyFont="1" applyFill="1" applyBorder="1" applyAlignment="1">
      <alignment horizontal="left" vertical="top" wrapText="1"/>
    </xf>
    <xf numFmtId="0" fontId="1" fillId="7" borderId="2" xfId="0" applyFont="1" applyFill="1" applyBorder="1" applyAlignment="1">
      <alignment horizontal="left" vertical="top" wrapText="1"/>
    </xf>
    <xf numFmtId="0" fontId="1" fillId="7" borderId="7" xfId="0" applyFont="1" applyFill="1" applyBorder="1" applyAlignment="1">
      <alignment horizontal="left" vertical="top" wrapText="1"/>
    </xf>
    <xf numFmtId="0" fontId="4" fillId="0" borderId="0" xfId="0" applyFont="1" applyAlignment="1">
      <alignment horizontal="left" vertical="top" wrapText="1"/>
    </xf>
    <xf numFmtId="0" fontId="3" fillId="4" borderId="8" xfId="0" applyFont="1" applyFill="1" applyBorder="1" applyAlignment="1">
      <alignment horizontal="center"/>
    </xf>
    <xf numFmtId="0" fontId="3" fillId="4" borderId="2" xfId="0" applyFont="1" applyFill="1" applyBorder="1" applyAlignment="1">
      <alignment horizontal="center"/>
    </xf>
    <xf numFmtId="0" fontId="3" fillId="4" borderId="7" xfId="0" applyFont="1" applyFill="1" applyBorder="1" applyAlignment="1">
      <alignment horizontal="center"/>
    </xf>
    <xf numFmtId="0" fontId="2" fillId="0" borderId="8" xfId="0" applyFont="1" applyBorder="1" applyAlignment="1">
      <alignment horizontal="left" wrapText="1"/>
    </xf>
    <xf numFmtId="0" fontId="2" fillId="0" borderId="7" xfId="0" applyFont="1" applyBorder="1" applyAlignment="1">
      <alignment horizontal="left" wrapText="1"/>
    </xf>
    <xf numFmtId="0" fontId="3" fillId="2" borderId="0" xfId="0" applyFont="1" applyFill="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0" fontId="2" fillId="0" borderId="7" xfId="0" applyFont="1" applyBorder="1" applyAlignment="1">
      <alignment horizontal="left"/>
    </xf>
    <xf numFmtId="0" fontId="1" fillId="7" borderId="11" xfId="0" applyFont="1" applyFill="1" applyBorder="1" applyAlignment="1">
      <alignment horizontal="left" vertical="center" wrapText="1"/>
    </xf>
    <xf numFmtId="0" fontId="1" fillId="7" borderId="3" xfId="0" applyFont="1" applyFill="1" applyBorder="1" applyAlignment="1">
      <alignment horizontal="left" vertical="center" wrapText="1"/>
    </xf>
    <xf numFmtId="0" fontId="1" fillId="7" borderId="12" xfId="0" applyFont="1" applyFill="1" applyBorder="1" applyAlignment="1">
      <alignment horizontal="left" vertical="center" wrapText="1"/>
    </xf>
    <xf numFmtId="0" fontId="1" fillId="7" borderId="13" xfId="0" applyFont="1" applyFill="1" applyBorder="1" applyAlignment="1">
      <alignment horizontal="left" vertical="center" wrapText="1"/>
    </xf>
    <xf numFmtId="0" fontId="1" fillId="7" borderId="0" xfId="0" applyFont="1" applyFill="1" applyAlignment="1">
      <alignment horizontal="left" vertical="center" wrapText="1"/>
    </xf>
    <xf numFmtId="0" fontId="1" fillId="7" borderId="14" xfId="0" applyFont="1" applyFill="1" applyBorder="1" applyAlignment="1">
      <alignment horizontal="left" vertical="center" wrapText="1"/>
    </xf>
    <xf numFmtId="0" fontId="1" fillId="7" borderId="15" xfId="0" applyFont="1" applyFill="1" applyBorder="1" applyAlignment="1">
      <alignment horizontal="left" vertical="center" wrapText="1"/>
    </xf>
    <xf numFmtId="0" fontId="1" fillId="7" borderId="1" xfId="0" applyFont="1" applyFill="1" applyBorder="1" applyAlignment="1">
      <alignment horizontal="left" vertical="center" wrapText="1"/>
    </xf>
    <xf numFmtId="0" fontId="1" fillId="7" borderId="16" xfId="0" applyFont="1" applyFill="1" applyBorder="1" applyAlignment="1">
      <alignment horizontal="left" vertical="center" wrapText="1"/>
    </xf>
    <xf numFmtId="0" fontId="8" fillId="0" borderId="0" xfId="0" applyFont="1" applyAlignment="1">
      <alignment horizontal="left" vertical="top" wrapText="1"/>
    </xf>
    <xf numFmtId="0" fontId="2" fillId="0" borderId="6" xfId="0" applyFont="1" applyBorder="1" applyAlignment="1">
      <alignment wrapText="1"/>
    </xf>
    <xf numFmtId="0" fontId="2" fillId="0" borderId="2" xfId="0" applyFont="1" applyBorder="1" applyAlignment="1">
      <alignment horizontal="left" wrapText="1"/>
    </xf>
    <xf numFmtId="0" fontId="18" fillId="8" borderId="9" xfId="0" applyFont="1" applyFill="1" applyBorder="1" applyAlignment="1">
      <alignment horizontal="left" vertical="center" wrapText="1"/>
    </xf>
    <xf numFmtId="0" fontId="18" fillId="8" borderId="17" xfId="0" applyFont="1" applyFill="1" applyBorder="1" applyAlignment="1">
      <alignment horizontal="left" vertical="center" wrapText="1"/>
    </xf>
    <xf numFmtId="0" fontId="18" fillId="8" borderId="18" xfId="0" applyFont="1" applyFill="1" applyBorder="1" applyAlignment="1">
      <alignment horizontal="left" vertical="center" wrapText="1"/>
    </xf>
    <xf numFmtId="0" fontId="18" fillId="8" borderId="21" xfId="0" applyFont="1" applyFill="1" applyBorder="1" applyAlignment="1">
      <alignment horizontal="left" vertical="center" wrapText="1"/>
    </xf>
    <xf numFmtId="0" fontId="18" fillId="8" borderId="0" xfId="0" applyFont="1" applyFill="1" applyAlignment="1">
      <alignment horizontal="left" vertical="center" wrapText="1"/>
    </xf>
    <xf numFmtId="0" fontId="18" fillId="8" borderId="22" xfId="0" applyFont="1" applyFill="1" applyBorder="1" applyAlignment="1">
      <alignment horizontal="left" vertical="center" wrapText="1"/>
    </xf>
    <xf numFmtId="0" fontId="18" fillId="8" borderId="10" xfId="0" applyFont="1" applyFill="1" applyBorder="1" applyAlignment="1">
      <alignment horizontal="left" vertical="center" wrapText="1"/>
    </xf>
    <xf numFmtId="0" fontId="18" fillId="8" borderId="19" xfId="0" applyFont="1" applyFill="1" applyBorder="1" applyAlignment="1">
      <alignment horizontal="left" vertical="center" wrapText="1"/>
    </xf>
    <xf numFmtId="0" fontId="18" fillId="8" borderId="20" xfId="0" applyFont="1" applyFill="1" applyBorder="1" applyAlignment="1">
      <alignment horizontal="left" vertical="center" wrapText="1"/>
    </xf>
    <xf numFmtId="0" fontId="11" fillId="0" borderId="0" xfId="0" applyFont="1" applyAlignment="1">
      <alignment horizontal="left" vertical="top" wrapText="1"/>
    </xf>
    <xf numFmtId="0" fontId="12" fillId="0" borderId="0" xfId="0" applyFont="1" applyAlignment="1">
      <alignment horizontal="left" vertical="top" wrapText="1"/>
    </xf>
    <xf numFmtId="0" fontId="11" fillId="0" borderId="0" xfId="14" applyFont="1" applyAlignment="1">
      <alignment horizontal="right" wrapText="1"/>
    </xf>
    <xf numFmtId="10" fontId="33" fillId="0" borderId="0" xfId="15" applyNumberFormat="1" applyFont="1" applyFill="1"/>
    <xf numFmtId="44" fontId="29" fillId="0" borderId="0" xfId="13" applyFont="1"/>
    <xf numFmtId="10" fontId="29" fillId="0" borderId="0" xfId="15" applyNumberFormat="1" applyFont="1" applyFill="1"/>
  </cellXfs>
  <cellStyles count="18">
    <cellStyle name="Comma" xfId="1" builtinId="3"/>
    <cellStyle name="Comma 2" xfId="5" xr:uid="{00000000-0005-0000-0000-000001000000}"/>
    <cellStyle name="Comma 2 2" xfId="10" xr:uid="{22732D9B-2126-4C2E-8D8A-F0709B8D013B}"/>
    <cellStyle name="Comma 3" xfId="11" xr:uid="{6E52537D-C84F-4AC0-B784-5A927FB8CFDB}"/>
    <cellStyle name="Currency" xfId="2" builtinId="4"/>
    <cellStyle name="Currency 2" xfId="6" xr:uid="{00000000-0005-0000-0000-000003000000}"/>
    <cellStyle name="Currency 2 2" xfId="12" xr:uid="{99949077-CD3C-430B-A516-1932DC41F099}"/>
    <cellStyle name="Currency 3" xfId="13" xr:uid="{988BFCFF-0FE4-4954-AF6F-34A9ED129763}"/>
    <cellStyle name="Hyperlink" xfId="4" builtinId="8"/>
    <cellStyle name="Normal" xfId="0" builtinId="0"/>
    <cellStyle name="Normal 2" xfId="8" xr:uid="{00000000-0005-0000-0000-000006000000}"/>
    <cellStyle name="Normal 2 2" xfId="14" xr:uid="{BB0A5A55-E05A-4D7E-90C6-4BEDF65EFEE0}"/>
    <cellStyle name="Normal 3" xfId="9" xr:uid="{8317EB31-E8A4-44D4-AD82-80A67BBADFB1}"/>
    <cellStyle name="Percent" xfId="3" builtinId="5"/>
    <cellStyle name="Percent 2" xfId="7" xr:uid="{00000000-0005-0000-0000-000008000000}"/>
    <cellStyle name="Percent 2 2" xfId="15" xr:uid="{AED9EF69-5E0C-4BC3-B4A7-16C9586B0821}"/>
    <cellStyle name="Percent 3" xfId="16" xr:uid="{5660E1D0-E4C2-4B36-9872-4688220C4338}"/>
    <cellStyle name="Percent 3 2" xfId="17" xr:uid="{5E7996DB-53CB-4EAE-BC05-2B1B9EA7F125}"/>
  </cellStyles>
  <dxfs count="0"/>
  <tableStyles count="0" defaultTableStyle="TableStyleMedium9" defaultPivotStyle="PivotStyleLight16"/>
  <colors>
    <mruColors>
      <color rgb="FFC0C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Y59"/>
  <sheetViews>
    <sheetView showGridLines="0" zoomScaleNormal="100" workbookViewId="0">
      <selection activeCell="P12" sqref="P12"/>
    </sheetView>
  </sheetViews>
  <sheetFormatPr defaultColWidth="9.33203125" defaultRowHeight="12.75" x14ac:dyDescent="0.2"/>
  <cols>
    <col min="1" max="1" width="17.6640625" style="43" customWidth="1"/>
    <col min="2" max="2" width="4.6640625" style="43" customWidth="1"/>
    <col min="3" max="3" width="15" style="43" customWidth="1"/>
    <col min="4" max="4" width="7.83203125" style="43" customWidth="1"/>
    <col min="5" max="5" width="15.5" style="43" customWidth="1"/>
    <col min="6" max="6" width="9.33203125" style="43"/>
    <col min="7" max="7" width="15.5" style="43" customWidth="1"/>
    <col min="8" max="8" width="0.6640625" style="43" customWidth="1"/>
    <col min="9" max="9" width="21.5" style="43" customWidth="1"/>
    <col min="10" max="10" width="16.1640625" style="43" customWidth="1"/>
    <col min="11" max="11" width="13.5" style="43" customWidth="1"/>
    <col min="12" max="23" width="9.33203125" style="43"/>
    <col min="24" max="24" width="12.5" style="43" customWidth="1"/>
    <col min="25" max="16384" width="9.33203125" style="43"/>
  </cols>
  <sheetData>
    <row r="1" spans="1:25" ht="21.75" customHeight="1" thickBot="1" x14ac:dyDescent="0.35">
      <c r="A1" s="83" t="s">
        <v>27</v>
      </c>
      <c r="B1" s="44"/>
      <c r="C1" s="44"/>
      <c r="D1" s="44"/>
      <c r="E1" s="44"/>
      <c r="F1" s="44"/>
      <c r="G1" s="44"/>
      <c r="H1" s="44"/>
      <c r="I1" s="44"/>
      <c r="J1" s="44"/>
      <c r="K1" s="82" t="s">
        <v>73</v>
      </c>
      <c r="N1" s="45" t="s">
        <v>156</v>
      </c>
    </row>
    <row r="2" spans="1:25" ht="13.5" customHeight="1" x14ac:dyDescent="0.3">
      <c r="A2" s="84"/>
      <c r="K2" s="45"/>
      <c r="N2" s="139"/>
      <c r="O2" s="140"/>
      <c r="P2" s="140"/>
      <c r="Q2" s="140"/>
      <c r="R2" s="140"/>
      <c r="S2" s="140"/>
      <c r="T2" s="140"/>
      <c r="U2" s="140"/>
      <c r="V2" s="140"/>
      <c r="W2" s="140"/>
      <c r="X2" s="140"/>
      <c r="Y2" s="141"/>
    </row>
    <row r="3" spans="1:25" ht="18.75" x14ac:dyDescent="0.3">
      <c r="A3" s="45"/>
      <c r="N3" s="142"/>
      <c r="O3" s="137" t="s">
        <v>144</v>
      </c>
      <c r="Y3" s="143"/>
    </row>
    <row r="4" spans="1:25" ht="21" customHeight="1" x14ac:dyDescent="0.3">
      <c r="A4" s="45" t="s">
        <v>171</v>
      </c>
      <c r="C4" s="218">
        <v>44894</v>
      </c>
      <c r="D4" s="219"/>
      <c r="N4" s="142"/>
      <c r="O4" s="144" t="s">
        <v>147</v>
      </c>
      <c r="P4" s="145"/>
      <c r="Q4" s="145"/>
      <c r="R4" s="145"/>
      <c r="S4" s="145"/>
      <c r="T4" s="145"/>
      <c r="U4" s="145"/>
      <c r="V4" s="145"/>
      <c r="W4" s="145"/>
      <c r="X4" s="145"/>
      <c r="Y4" s="143"/>
    </row>
    <row r="5" spans="1:25" ht="24.75" customHeight="1" x14ac:dyDescent="0.3">
      <c r="A5" s="45" t="s">
        <v>204</v>
      </c>
      <c r="C5" s="219" t="s">
        <v>33</v>
      </c>
      <c r="D5" s="219"/>
      <c r="E5" s="49"/>
      <c r="N5" s="142"/>
      <c r="O5" s="166" t="s">
        <v>178</v>
      </c>
      <c r="P5" s="167"/>
      <c r="Q5" s="167"/>
      <c r="R5" s="167"/>
      <c r="S5" s="167"/>
      <c r="T5" s="167"/>
      <c r="U5" s="167"/>
      <c r="V5" s="167"/>
      <c r="W5" s="167"/>
      <c r="X5" s="167"/>
      <c r="Y5" s="143"/>
    </row>
    <row r="6" spans="1:25" ht="24.75" customHeight="1" thickBot="1" x14ac:dyDescent="0.25">
      <c r="A6" s="45" t="s">
        <v>205</v>
      </c>
      <c r="C6" s="219" t="s">
        <v>148</v>
      </c>
      <c r="D6" s="219"/>
      <c r="E6" s="49"/>
      <c r="N6" s="146"/>
      <c r="O6" s="147"/>
      <c r="P6" s="147"/>
      <c r="Q6" s="147"/>
      <c r="R6" s="147"/>
      <c r="S6" s="147"/>
      <c r="T6" s="147"/>
      <c r="U6" s="147"/>
      <c r="V6" s="147"/>
      <c r="W6" s="147"/>
      <c r="X6" s="147"/>
      <c r="Y6" s="148"/>
    </row>
    <row r="7" spans="1:25" ht="24.75" customHeight="1" x14ac:dyDescent="0.2">
      <c r="A7" s="45" t="s">
        <v>28</v>
      </c>
      <c r="C7" s="219" t="s">
        <v>34</v>
      </c>
      <c r="D7" s="219"/>
      <c r="E7" s="219"/>
      <c r="F7" s="219"/>
      <c r="G7" s="49"/>
    </row>
    <row r="8" spans="1:25" ht="24.75" customHeight="1" x14ac:dyDescent="0.2">
      <c r="A8" s="45" t="s">
        <v>29</v>
      </c>
      <c r="D8" s="219" t="s">
        <v>113</v>
      </c>
      <c r="E8" s="219"/>
      <c r="F8" s="219"/>
      <c r="G8" s="219"/>
    </row>
    <row r="9" spans="1:25" ht="22.5" customHeight="1" x14ac:dyDescent="0.2">
      <c r="A9" s="45" t="s">
        <v>149</v>
      </c>
      <c r="D9" s="219" t="s">
        <v>92</v>
      </c>
      <c r="E9" s="219"/>
      <c r="F9" s="219"/>
      <c r="G9" s="219"/>
      <c r="H9" s="219"/>
      <c r="I9" s="219"/>
    </row>
    <row r="10" spans="1:25" x14ac:dyDescent="0.2">
      <c r="A10" s="45"/>
      <c r="D10" s="85"/>
      <c r="F10" s="85"/>
      <c r="G10" s="86"/>
      <c r="H10" s="85"/>
      <c r="I10" s="85"/>
    </row>
    <row r="11" spans="1:25" ht="26.25" customHeight="1" x14ac:dyDescent="0.2">
      <c r="A11" s="149" t="s">
        <v>150</v>
      </c>
      <c r="D11" s="220" t="s">
        <v>151</v>
      </c>
      <c r="E11" s="220"/>
      <c r="F11" s="220"/>
      <c r="G11" s="220"/>
      <c r="H11" s="220"/>
      <c r="I11" s="220"/>
    </row>
    <row r="12" spans="1:25" x14ac:dyDescent="0.2">
      <c r="A12" s="45"/>
      <c r="D12" s="85"/>
      <c r="F12" s="85"/>
      <c r="G12" s="86"/>
      <c r="H12" s="85"/>
      <c r="I12" s="85"/>
    </row>
    <row r="13" spans="1:25" x14ac:dyDescent="0.2">
      <c r="A13" s="45" t="s">
        <v>155</v>
      </c>
      <c r="C13" s="203">
        <f ca="1">TODAY()</f>
        <v>45716</v>
      </c>
      <c r="D13" s="85"/>
      <c r="F13" s="85"/>
      <c r="G13" s="86"/>
      <c r="H13" s="85"/>
      <c r="I13" s="85"/>
    </row>
    <row r="14" spans="1:25" x14ac:dyDescent="0.2">
      <c r="A14" s="45" t="s">
        <v>94</v>
      </c>
      <c r="C14" s="204">
        <f ca="1">C13</f>
        <v>45716</v>
      </c>
      <c r="D14" s="85"/>
      <c r="F14" s="85"/>
      <c r="G14" s="86"/>
      <c r="H14" s="85"/>
      <c r="I14" s="85"/>
    </row>
    <row r="15" spans="1:25" ht="22.5" customHeight="1" x14ac:dyDescent="0.2">
      <c r="A15" s="45" t="s">
        <v>76</v>
      </c>
      <c r="D15" s="85"/>
      <c r="E15" s="150" t="s">
        <v>93</v>
      </c>
      <c r="F15" s="86" t="s">
        <v>193</v>
      </c>
      <c r="H15" s="85"/>
      <c r="I15" s="85"/>
    </row>
    <row r="16" spans="1:25" ht="15.75" customHeight="1" thickBot="1" x14ac:dyDescent="0.25">
      <c r="A16" s="45"/>
      <c r="D16" s="46"/>
      <c r="E16" s="46"/>
      <c r="F16" s="46"/>
      <c r="G16" s="46"/>
      <c r="H16" s="46"/>
      <c r="I16" s="46"/>
    </row>
    <row r="17" spans="1:13" s="78" customFormat="1" ht="15" customHeight="1" x14ac:dyDescent="0.2">
      <c r="A17" s="79" t="s">
        <v>74</v>
      </c>
      <c r="B17" s="212" t="s">
        <v>164</v>
      </c>
      <c r="C17" s="212"/>
      <c r="D17" s="212"/>
      <c r="E17" s="212"/>
      <c r="F17" s="212"/>
      <c r="G17" s="212"/>
      <c r="H17" s="212"/>
      <c r="I17" s="212"/>
      <c r="J17" s="212"/>
      <c r="K17" s="213"/>
    </row>
    <row r="18" spans="1:13" s="78" customFormat="1" ht="15" customHeight="1" x14ac:dyDescent="0.2">
      <c r="A18" s="100"/>
      <c r="B18" s="214"/>
      <c r="C18" s="214"/>
      <c r="D18" s="214"/>
      <c r="E18" s="214"/>
      <c r="F18" s="214"/>
      <c r="G18" s="214"/>
      <c r="H18" s="214"/>
      <c r="I18" s="214"/>
      <c r="J18" s="214"/>
      <c r="K18" s="215"/>
    </row>
    <row r="19" spans="1:13" s="78" customFormat="1" ht="12" customHeight="1" thickBot="1" x14ac:dyDescent="0.25">
      <c r="A19" s="80"/>
      <c r="B19" s="216"/>
      <c r="C19" s="216"/>
      <c r="D19" s="216"/>
      <c r="E19" s="216"/>
      <c r="F19" s="216"/>
      <c r="G19" s="216"/>
      <c r="H19" s="216"/>
      <c r="I19" s="216"/>
      <c r="J19" s="216"/>
      <c r="K19" s="217"/>
    </row>
    <row r="20" spans="1:13" x14ac:dyDescent="0.2">
      <c r="A20" s="45"/>
    </row>
    <row r="21" spans="1:13" ht="12.75" customHeight="1" x14ac:dyDescent="0.2">
      <c r="A21" s="149" t="s">
        <v>47</v>
      </c>
      <c r="B21" s="191" t="s">
        <v>71</v>
      </c>
      <c r="C21" s="192" t="s">
        <v>24</v>
      </c>
      <c r="D21" s="149" t="s">
        <v>25</v>
      </c>
      <c r="E21" s="187">
        <f>E25*1.26</f>
        <v>132.30000000000001</v>
      </c>
      <c r="F21" s="192" t="s">
        <v>26</v>
      </c>
      <c r="G21" s="185" t="s">
        <v>181</v>
      </c>
      <c r="H21" s="192"/>
      <c r="I21" s="149" t="s">
        <v>72</v>
      </c>
      <c r="J21" s="221" t="s">
        <v>163</v>
      </c>
      <c r="K21" s="222"/>
    </row>
    <row r="22" spans="1:13" ht="6" customHeight="1" x14ac:dyDescent="0.2">
      <c r="A22" s="149"/>
      <c r="B22" s="192"/>
      <c r="C22" s="192"/>
      <c r="D22" s="149"/>
      <c r="E22" s="192"/>
      <c r="F22" s="192"/>
      <c r="G22" s="192"/>
      <c r="H22" s="192"/>
      <c r="I22" s="192"/>
      <c r="J22" s="223"/>
      <c r="K22" s="224"/>
    </row>
    <row r="23" spans="1:13" x14ac:dyDescent="0.2">
      <c r="A23" s="149"/>
      <c r="B23" s="191" t="s">
        <v>71</v>
      </c>
      <c r="C23" s="192" t="s">
        <v>179</v>
      </c>
      <c r="D23" s="149" t="s">
        <v>25</v>
      </c>
      <c r="E23" s="188">
        <f>E25</f>
        <v>105</v>
      </c>
      <c r="F23" s="192" t="s">
        <v>26</v>
      </c>
      <c r="G23" s="185" t="s">
        <v>181</v>
      </c>
      <c r="H23" s="192"/>
      <c r="I23" s="192"/>
      <c r="J23" s="223"/>
      <c r="K23" s="224"/>
    </row>
    <row r="24" spans="1:13" ht="6" customHeight="1" x14ac:dyDescent="0.2">
      <c r="A24" s="149"/>
      <c r="B24" s="192"/>
      <c r="C24" s="192"/>
      <c r="D24" s="149"/>
      <c r="E24" s="192"/>
      <c r="F24" s="192"/>
      <c r="G24" s="192"/>
      <c r="H24" s="192"/>
      <c r="I24" s="192"/>
      <c r="J24" s="223"/>
      <c r="K24" s="224"/>
    </row>
    <row r="25" spans="1:13" x14ac:dyDescent="0.2">
      <c r="A25" s="149"/>
      <c r="B25" s="191" t="s">
        <v>71</v>
      </c>
      <c r="C25" s="192" t="s">
        <v>180</v>
      </c>
      <c r="D25" s="149" t="s">
        <v>25</v>
      </c>
      <c r="E25" s="188">
        <f>ROUNDDOWN(J52,0)</f>
        <v>105</v>
      </c>
      <c r="F25" s="192" t="s">
        <v>26</v>
      </c>
      <c r="G25" s="185" t="s">
        <v>181</v>
      </c>
      <c r="H25" s="192"/>
      <c r="I25" s="192"/>
      <c r="J25" s="223"/>
      <c r="K25" s="224"/>
    </row>
    <row r="26" spans="1:13" x14ac:dyDescent="0.2">
      <c r="J26" s="223"/>
      <c r="K26" s="224"/>
    </row>
    <row r="27" spans="1:13" x14ac:dyDescent="0.2">
      <c r="C27" s="66"/>
      <c r="D27" s="66"/>
      <c r="E27" s="66"/>
      <c r="F27" s="66"/>
      <c r="G27" s="66"/>
      <c r="H27" s="66"/>
      <c r="I27" s="66"/>
      <c r="J27" s="225"/>
      <c r="K27" s="226"/>
      <c r="L27" s="66"/>
      <c r="M27" s="66"/>
    </row>
    <row r="28" spans="1:13" ht="15.75" x14ac:dyDescent="0.25">
      <c r="A28" s="76" t="s">
        <v>35</v>
      </c>
      <c r="B28" s="44"/>
      <c r="C28" s="68"/>
      <c r="D28" s="68"/>
      <c r="E28" s="68"/>
      <c r="F28" s="68"/>
      <c r="G28" s="68"/>
      <c r="H28" s="68"/>
      <c r="I28" s="68"/>
      <c r="J28" s="68"/>
      <c r="K28" s="68"/>
      <c r="M28" s="66"/>
    </row>
    <row r="29" spans="1:13" x14ac:dyDescent="0.2">
      <c r="B29" s="66"/>
      <c r="C29" s="66"/>
      <c r="D29" s="66"/>
      <c r="E29" s="66"/>
      <c r="F29" s="66"/>
      <c r="G29" s="66"/>
      <c r="H29" s="66"/>
      <c r="I29" s="66"/>
      <c r="J29" s="69"/>
      <c r="K29" s="66"/>
      <c r="M29" s="66"/>
    </row>
    <row r="30" spans="1:13" ht="15.75" x14ac:dyDescent="0.25">
      <c r="B30" s="66"/>
      <c r="C30" s="77" t="s">
        <v>89</v>
      </c>
      <c r="D30" s="70"/>
      <c r="E30" s="71"/>
      <c r="F30" s="74"/>
      <c r="G30" s="75"/>
      <c r="H30" s="66"/>
      <c r="I30" s="66"/>
      <c r="J30" s="72" t="s">
        <v>70</v>
      </c>
      <c r="K30" s="66"/>
      <c r="M30" s="66"/>
    </row>
    <row r="31" spans="1:13" ht="12.95" customHeight="1" x14ac:dyDescent="0.2">
      <c r="B31" s="66"/>
      <c r="C31" s="66" t="s">
        <v>48</v>
      </c>
      <c r="D31" s="66"/>
      <c r="E31" s="66"/>
      <c r="F31" s="66"/>
      <c r="G31" s="66"/>
      <c r="H31" s="66"/>
      <c r="I31" s="66"/>
      <c r="J31" s="109">
        <f>'.2 Direct &amp; Indirect Personnel'!H28</f>
        <v>38719.923519999997</v>
      </c>
      <c r="K31" s="66"/>
      <c r="M31" s="66"/>
    </row>
    <row r="32" spans="1:13" ht="12.95" customHeight="1" x14ac:dyDescent="0.2">
      <c r="B32" s="66"/>
      <c r="C32" s="66" t="s">
        <v>183</v>
      </c>
      <c r="D32" s="66"/>
      <c r="E32" s="66"/>
      <c r="F32" s="66"/>
      <c r="G32" s="66"/>
      <c r="H32" s="66"/>
      <c r="I32" s="66"/>
      <c r="J32" s="109">
        <f>'.3 Direct &amp; Indirect Costs'!E25</f>
        <v>23400</v>
      </c>
      <c r="K32" s="66"/>
      <c r="M32" s="66"/>
    </row>
    <row r="33" spans="2:13" ht="12.95" customHeight="1" x14ac:dyDescent="0.2">
      <c r="B33" s="66"/>
      <c r="C33" s="66"/>
      <c r="D33" s="66"/>
      <c r="E33" s="66"/>
      <c r="F33" s="66"/>
      <c r="G33" s="66"/>
      <c r="H33" s="66"/>
      <c r="I33" s="66"/>
      <c r="J33" s="110"/>
      <c r="K33" s="66"/>
      <c r="M33" s="66"/>
    </row>
    <row r="34" spans="2:13" x14ac:dyDescent="0.2">
      <c r="B34" s="66"/>
      <c r="C34" s="66"/>
      <c r="D34" s="66"/>
      <c r="E34" s="66"/>
      <c r="F34" s="66"/>
      <c r="G34" s="66"/>
      <c r="I34" s="65" t="s">
        <v>68</v>
      </c>
      <c r="J34" s="111">
        <f>SUM(J31:J33)</f>
        <v>62119.923519999997</v>
      </c>
      <c r="K34" s="66"/>
      <c r="M34" s="66"/>
    </row>
    <row r="35" spans="2:13" x14ac:dyDescent="0.2">
      <c r="B35" s="66"/>
      <c r="C35" s="66"/>
      <c r="D35" s="66"/>
      <c r="E35" s="66"/>
      <c r="F35" s="66"/>
      <c r="G35" s="66"/>
      <c r="H35" s="66"/>
      <c r="I35" s="66"/>
      <c r="J35" s="67"/>
      <c r="K35" s="66"/>
      <c r="M35" s="66"/>
    </row>
    <row r="36" spans="2:13" x14ac:dyDescent="0.2">
      <c r="B36" s="66"/>
      <c r="C36" s="66"/>
      <c r="D36" s="66"/>
      <c r="E36" s="66"/>
      <c r="F36" s="66"/>
      <c r="G36" s="66"/>
      <c r="H36" s="73"/>
      <c r="I36" s="66"/>
      <c r="J36" s="67"/>
      <c r="K36" s="66"/>
      <c r="M36" s="66"/>
    </row>
    <row r="37" spans="2:13" ht="15.75" x14ac:dyDescent="0.25">
      <c r="B37" s="66"/>
      <c r="C37" s="77" t="s">
        <v>90</v>
      </c>
      <c r="D37" s="74"/>
      <c r="E37" s="75"/>
      <c r="F37" s="74"/>
      <c r="G37" s="75"/>
      <c r="H37" s="66"/>
      <c r="I37" s="66"/>
      <c r="J37" s="72" t="s">
        <v>70</v>
      </c>
      <c r="K37" s="66"/>
      <c r="M37" s="66"/>
    </row>
    <row r="38" spans="2:13" s="66" customFormat="1" ht="12.95" customHeight="1" x14ac:dyDescent="0.2">
      <c r="C38" s="66" t="s">
        <v>67</v>
      </c>
      <c r="J38" s="109">
        <f>'.2 Direct &amp; Indirect Personnel'!H62</f>
        <v>12347.725</v>
      </c>
    </row>
    <row r="39" spans="2:13" s="66" customFormat="1" ht="12.95" customHeight="1" x14ac:dyDescent="0.2">
      <c r="C39" s="66" t="s">
        <v>184</v>
      </c>
      <c r="J39" s="109">
        <f>'.3 Direct &amp; Indirect Costs'!G48</f>
        <v>4600</v>
      </c>
    </row>
    <row r="40" spans="2:13" s="66" customFormat="1" ht="12.95" customHeight="1" x14ac:dyDescent="0.2">
      <c r="C40" s="66" t="s">
        <v>185</v>
      </c>
      <c r="J40" s="109">
        <f>'.4 Equipment Use Fee (Indirect)'!K39</f>
        <v>6935.9099804305279</v>
      </c>
    </row>
    <row r="41" spans="2:13" ht="12.95" customHeight="1" x14ac:dyDescent="0.2">
      <c r="J41" s="112"/>
    </row>
    <row r="42" spans="2:13" x14ac:dyDescent="0.2">
      <c r="I42" s="65" t="s">
        <v>69</v>
      </c>
      <c r="J42" s="113">
        <f>SUM(J38:J41)</f>
        <v>23883.634980430528</v>
      </c>
    </row>
    <row r="43" spans="2:13" s="66" customFormat="1" ht="11.25" x14ac:dyDescent="0.2">
      <c r="J43" s="114"/>
    </row>
    <row r="44" spans="2:13" s="66" customFormat="1" ht="11.25" x14ac:dyDescent="0.2">
      <c r="I44" s="73" t="s">
        <v>138</v>
      </c>
      <c r="J44" s="115">
        <f>J34+J42</f>
        <v>86003.558500430518</v>
      </c>
    </row>
    <row r="45" spans="2:13" s="66" customFormat="1" ht="11.25" x14ac:dyDescent="0.2"/>
    <row r="46" spans="2:13" s="66" customFormat="1" ht="11.25" x14ac:dyDescent="0.2">
      <c r="I46" s="73" t="s">
        <v>95</v>
      </c>
      <c r="J46" s="186">
        <v>815</v>
      </c>
      <c r="L46" s="200" t="s">
        <v>206</v>
      </c>
    </row>
    <row r="47" spans="2:13" s="66" customFormat="1" ht="11.25" x14ac:dyDescent="0.2"/>
    <row r="48" spans="2:13" ht="15.75" x14ac:dyDescent="0.25">
      <c r="F48" s="108"/>
      <c r="G48" s="108"/>
      <c r="H48" s="108"/>
      <c r="I48" s="65" t="s">
        <v>143</v>
      </c>
      <c r="J48" s="116">
        <f>IFERROR(J44/J46,0)</f>
        <v>105.52583865083498</v>
      </c>
    </row>
    <row r="49" spans="1:12" x14ac:dyDescent="0.2">
      <c r="J49" s="112"/>
    </row>
    <row r="50" spans="1:12" x14ac:dyDescent="0.2">
      <c r="I50" s="190" t="s">
        <v>182</v>
      </c>
      <c r="J50" s="117">
        <f>-'.5 Lookback Analysis'!I45</f>
        <v>0</v>
      </c>
    </row>
    <row r="51" spans="1:12" x14ac:dyDescent="0.2">
      <c r="J51" s="112"/>
    </row>
    <row r="52" spans="1:12" ht="16.5" thickBot="1" x14ac:dyDescent="0.3">
      <c r="I52" s="103" t="s">
        <v>99</v>
      </c>
      <c r="J52" s="118">
        <f>J48+J50</f>
        <v>105.52583865083498</v>
      </c>
    </row>
    <row r="53" spans="1:12" ht="16.5" thickTop="1" x14ac:dyDescent="0.25">
      <c r="I53" s="103"/>
      <c r="J53" s="102"/>
    </row>
    <row r="55" spans="1:12" x14ac:dyDescent="0.2">
      <c r="A55" s="45" t="s">
        <v>98</v>
      </c>
    </row>
    <row r="56" spans="1:12" x14ac:dyDescent="0.2">
      <c r="A56" s="45" t="s">
        <v>114</v>
      </c>
    </row>
    <row r="57" spans="1:12" ht="13.5" thickBot="1" x14ac:dyDescent="0.25"/>
    <row r="58" spans="1:12" ht="13.5" thickBot="1" x14ac:dyDescent="0.25">
      <c r="A58" s="206" t="s">
        <v>172</v>
      </c>
      <c r="B58" s="207"/>
      <c r="C58" s="207"/>
      <c r="D58" s="207"/>
      <c r="E58" s="207"/>
      <c r="F58" s="207"/>
      <c r="G58" s="207"/>
      <c r="H58" s="207"/>
      <c r="I58" s="207"/>
      <c r="J58" s="207"/>
      <c r="K58" s="208"/>
    </row>
    <row r="59" spans="1:12" ht="33.75" customHeight="1" thickBot="1" x14ac:dyDescent="0.25">
      <c r="A59" s="209" t="s">
        <v>173</v>
      </c>
      <c r="B59" s="210"/>
      <c r="C59" s="210"/>
      <c r="D59" s="210"/>
      <c r="E59" s="210"/>
      <c r="F59" s="210"/>
      <c r="G59" s="210"/>
      <c r="H59" s="210"/>
      <c r="I59" s="210"/>
      <c r="J59" s="210"/>
      <c r="K59" s="211"/>
      <c r="L59" s="200" t="s">
        <v>206</v>
      </c>
    </row>
  </sheetData>
  <mergeCells count="11">
    <mergeCell ref="A58:K58"/>
    <mergeCell ref="A59:K59"/>
    <mergeCell ref="B17:K19"/>
    <mergeCell ref="C4:D4"/>
    <mergeCell ref="D8:G8"/>
    <mergeCell ref="C5:D5"/>
    <mergeCell ref="C7:F7"/>
    <mergeCell ref="C6:D6"/>
    <mergeCell ref="D9:I9"/>
    <mergeCell ref="D11:I11"/>
    <mergeCell ref="J21:K27"/>
  </mergeCells>
  <pageMargins left="0.42" right="0.34" top="0.75" bottom="0.75" header="0.3" footer="0.3"/>
  <pageSetup scale="94"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I79"/>
  <sheetViews>
    <sheetView showGridLines="0" topLeftCell="A35" workbookViewId="0">
      <selection activeCell="Q65" sqref="Q65"/>
    </sheetView>
  </sheetViews>
  <sheetFormatPr defaultRowHeight="11.25" x14ac:dyDescent="0.2"/>
  <cols>
    <col min="1" max="1" width="23.33203125" bestFit="1" customWidth="1"/>
    <col min="2" max="2" width="15" customWidth="1"/>
    <col min="3" max="3" width="12" style="4" customWidth="1"/>
    <col min="4" max="4" width="14.1640625" style="4" customWidth="1"/>
    <col min="5" max="5" width="15.1640625" style="5" customWidth="1"/>
    <col min="6" max="6" width="13.33203125" style="3" customWidth="1"/>
    <col min="7" max="7" width="13.6640625" customWidth="1"/>
    <col min="8" max="8" width="14.6640625" customWidth="1"/>
    <col min="9" max="9" width="7.5" bestFit="1" customWidth="1"/>
  </cols>
  <sheetData>
    <row r="1" spans="1:9" ht="12" x14ac:dyDescent="0.2">
      <c r="A1" s="21"/>
      <c r="I1" s="24" t="s">
        <v>63</v>
      </c>
    </row>
    <row r="2" spans="1:9" ht="12" x14ac:dyDescent="0.2">
      <c r="A2" s="23"/>
    </row>
    <row r="3" spans="1:9" ht="12.75" x14ac:dyDescent="0.2">
      <c r="A3" s="7" t="s">
        <v>4</v>
      </c>
      <c r="B3" s="8"/>
      <c r="C3" s="9"/>
      <c r="D3" s="9"/>
      <c r="E3" s="10"/>
      <c r="F3" s="11"/>
      <c r="G3" s="8"/>
      <c r="H3" s="8"/>
    </row>
    <row r="4" spans="1:9" s="13" customFormat="1" x14ac:dyDescent="0.2">
      <c r="A4" s="13" t="s">
        <v>23</v>
      </c>
      <c r="C4" s="14"/>
      <c r="D4" s="14"/>
      <c r="E4" s="15"/>
      <c r="F4" s="16"/>
    </row>
    <row r="5" spans="1:9" s="13" customFormat="1" x14ac:dyDescent="0.2">
      <c r="A5" s="91" t="s">
        <v>100</v>
      </c>
      <c r="B5" s="91"/>
      <c r="C5" s="92"/>
      <c r="D5" s="93"/>
      <c r="E5" s="94"/>
      <c r="F5" s="91"/>
      <c r="G5" s="91"/>
      <c r="H5" s="91"/>
      <c r="I5" s="91"/>
    </row>
    <row r="6" spans="1:9" s="13" customFormat="1" x14ac:dyDescent="0.2">
      <c r="A6" s="95" t="s">
        <v>101</v>
      </c>
      <c r="B6" s="91"/>
      <c r="C6" s="92"/>
      <c r="D6" s="93"/>
      <c r="E6" s="94"/>
      <c r="F6" s="91"/>
      <c r="G6" s="91"/>
      <c r="H6" s="91"/>
      <c r="I6" s="91"/>
    </row>
    <row r="7" spans="1:9" s="13" customFormat="1" x14ac:dyDescent="0.2">
      <c r="A7" s="95" t="s">
        <v>102</v>
      </c>
      <c r="B7" s="91"/>
      <c r="C7" s="92"/>
      <c r="D7" s="93"/>
      <c r="E7" s="94"/>
      <c r="F7" s="91"/>
      <c r="G7" s="91"/>
      <c r="H7" s="91"/>
      <c r="I7" s="91"/>
    </row>
    <row r="8" spans="1:9" s="13" customFormat="1" x14ac:dyDescent="0.2">
      <c r="A8" s="95" t="s">
        <v>111</v>
      </c>
      <c r="B8" s="91"/>
      <c r="C8" s="92"/>
      <c r="D8" s="93"/>
      <c r="E8" s="94"/>
      <c r="F8" s="91"/>
      <c r="G8" s="91"/>
      <c r="H8" s="91"/>
      <c r="I8" s="91"/>
    </row>
    <row r="9" spans="1:9" s="13" customFormat="1" ht="15.75" customHeight="1" x14ac:dyDescent="0.2">
      <c r="C9" s="14"/>
      <c r="D9" s="14"/>
      <c r="E9" s="15"/>
      <c r="F9" s="16"/>
    </row>
    <row r="10" spans="1:9" s="13" customFormat="1" ht="15.75" customHeight="1" x14ac:dyDescent="0.2">
      <c r="A10" s="234" t="s">
        <v>6</v>
      </c>
      <c r="B10" s="235"/>
      <c r="C10" s="235"/>
      <c r="D10" s="235"/>
      <c r="E10" s="235"/>
      <c r="F10" s="235"/>
      <c r="G10" s="235"/>
      <c r="H10" s="236"/>
    </row>
    <row r="11" spans="1:9" s="1" customFormat="1" ht="49.5" customHeight="1" x14ac:dyDescent="0.2">
      <c r="A11" s="56" t="s">
        <v>22</v>
      </c>
      <c r="B11" s="237" t="s">
        <v>2</v>
      </c>
      <c r="C11" s="238"/>
      <c r="D11" s="58" t="s">
        <v>103</v>
      </c>
      <c r="E11" s="58" t="s">
        <v>104</v>
      </c>
      <c r="F11" s="60" t="s">
        <v>97</v>
      </c>
      <c r="G11" s="59" t="s">
        <v>1</v>
      </c>
      <c r="H11" s="59" t="s">
        <v>105</v>
      </c>
    </row>
    <row r="12" spans="1:9" x14ac:dyDescent="0.2">
      <c r="A12" s="151" t="s">
        <v>11</v>
      </c>
      <c r="B12" s="151" t="s">
        <v>5</v>
      </c>
      <c r="C12" s="152"/>
      <c r="D12" s="152">
        <v>0.1</v>
      </c>
      <c r="E12" s="153">
        <v>60054</v>
      </c>
      <c r="F12" s="154">
        <v>0.38550000000000001</v>
      </c>
      <c r="G12" s="119">
        <f>(E12*(1+F12))</f>
        <v>83204.816999999995</v>
      </c>
      <c r="H12" s="120">
        <f>D12*G12</f>
        <v>8320.4817000000003</v>
      </c>
    </row>
    <row r="13" spans="1:9" x14ac:dyDescent="0.2">
      <c r="A13" s="151" t="s">
        <v>12</v>
      </c>
      <c r="B13" s="151" t="s">
        <v>14</v>
      </c>
      <c r="C13" s="155"/>
      <c r="D13" s="155">
        <v>0.2</v>
      </c>
      <c r="E13" s="153">
        <v>24347</v>
      </c>
      <c r="F13" s="156">
        <v>0.41880000000000001</v>
      </c>
      <c r="G13" s="119">
        <f>(E13*(1+F13))</f>
        <v>34543.5236</v>
      </c>
      <c r="H13" s="120">
        <f>D13*G13</f>
        <v>6908.7047200000006</v>
      </c>
    </row>
    <row r="14" spans="1:9" x14ac:dyDescent="0.2">
      <c r="A14" s="151"/>
      <c r="B14" s="151"/>
      <c r="C14" s="155"/>
      <c r="D14" s="155"/>
      <c r="E14" s="153"/>
      <c r="F14" s="156"/>
      <c r="G14" s="119"/>
      <c r="H14" s="120"/>
    </row>
    <row r="15" spans="1:9" x14ac:dyDescent="0.2">
      <c r="C15" s="47"/>
      <c r="D15" s="201" t="s">
        <v>206</v>
      </c>
      <c r="F15" s="6"/>
      <c r="G15" s="5"/>
    </row>
    <row r="16" spans="1:9" x14ac:dyDescent="0.2">
      <c r="C16" s="28"/>
      <c r="D16" s="28"/>
      <c r="F16"/>
      <c r="G16" s="27" t="s">
        <v>9</v>
      </c>
      <c r="H16" s="121">
        <f>SUM(H12:H15)</f>
        <v>15229.186420000002</v>
      </c>
    </row>
    <row r="17" spans="1:9" x14ac:dyDescent="0.2">
      <c r="C17" s="28"/>
      <c r="D17" s="28"/>
      <c r="F17" s="27"/>
      <c r="G17" s="29"/>
      <c r="H17" s="24"/>
    </row>
    <row r="18" spans="1:9" ht="15.75" customHeight="1" x14ac:dyDescent="0.2">
      <c r="C18" s="28"/>
      <c r="D18" s="28"/>
      <c r="F18" s="27"/>
      <c r="G18" s="29"/>
      <c r="H18" s="24"/>
    </row>
    <row r="19" spans="1:9" ht="15.75" customHeight="1" x14ac:dyDescent="0.2">
      <c r="A19" s="234" t="s">
        <v>7</v>
      </c>
      <c r="B19" s="235"/>
      <c r="C19" s="235"/>
      <c r="D19" s="235"/>
      <c r="E19" s="235"/>
      <c r="F19" s="235"/>
      <c r="G19" s="235"/>
      <c r="H19" s="236"/>
    </row>
    <row r="20" spans="1:9" ht="33.75" x14ac:dyDescent="0.2">
      <c r="A20" s="56" t="s">
        <v>0</v>
      </c>
      <c r="B20" s="57" t="s">
        <v>2</v>
      </c>
      <c r="C20" s="58" t="s">
        <v>32</v>
      </c>
      <c r="D20" s="58" t="s">
        <v>103</v>
      </c>
      <c r="E20" s="58" t="s">
        <v>8</v>
      </c>
      <c r="F20" s="60" t="s">
        <v>97</v>
      </c>
      <c r="G20" s="59" t="s">
        <v>106</v>
      </c>
      <c r="H20" s="59" t="s">
        <v>105</v>
      </c>
    </row>
    <row r="21" spans="1:9" x14ac:dyDescent="0.2">
      <c r="A21" s="151" t="s">
        <v>21</v>
      </c>
      <c r="B21" s="157" t="s">
        <v>13</v>
      </c>
      <c r="C21" s="158">
        <v>1080</v>
      </c>
      <c r="D21" s="155">
        <v>0.9</v>
      </c>
      <c r="E21" s="159">
        <v>22.45</v>
      </c>
      <c r="F21" s="154">
        <v>7.6499999999999999E-2</v>
      </c>
      <c r="G21" s="119">
        <f>C21*(E21*(1+F21))</f>
        <v>26100.819</v>
      </c>
      <c r="H21" s="120">
        <f>G21*D21</f>
        <v>23490.737099999998</v>
      </c>
    </row>
    <row r="22" spans="1:9" x14ac:dyDescent="0.2">
      <c r="A22" s="151"/>
      <c r="B22" s="157"/>
      <c r="C22" s="158"/>
      <c r="D22" s="155"/>
      <c r="E22" s="159"/>
      <c r="F22" s="154"/>
      <c r="G22" s="119"/>
      <c r="H22" s="120"/>
    </row>
    <row r="23" spans="1:9" x14ac:dyDescent="0.2">
      <c r="C23" s="201" t="s">
        <v>207</v>
      </c>
      <c r="D23" s="201" t="s">
        <v>206</v>
      </c>
      <c r="F23" s="31"/>
      <c r="G23" s="51"/>
    </row>
    <row r="24" spans="1:9" x14ac:dyDescent="0.2">
      <c r="F24"/>
      <c r="G24" s="27" t="s">
        <v>10</v>
      </c>
      <c r="H24" s="122">
        <f>SUM(H21:H23)</f>
        <v>23490.737099999998</v>
      </c>
    </row>
    <row r="25" spans="1:9" x14ac:dyDescent="0.2">
      <c r="F25" s="31"/>
      <c r="G25" s="30"/>
    </row>
    <row r="26" spans="1:9" x14ac:dyDescent="0.2">
      <c r="A26" s="32"/>
      <c r="B26" s="32"/>
      <c r="C26" s="33"/>
      <c r="D26" s="33"/>
      <c r="E26" s="12"/>
      <c r="F26" s="34"/>
      <c r="G26" s="35"/>
      <c r="H26" s="32"/>
    </row>
    <row r="27" spans="1:9" x14ac:dyDescent="0.2">
      <c r="F27" s="31"/>
      <c r="G27" s="30"/>
    </row>
    <row r="28" spans="1:9" ht="17.25" customHeight="1" thickBot="1" x14ac:dyDescent="0.25">
      <c r="F28"/>
      <c r="G28" s="27" t="s">
        <v>186</v>
      </c>
      <c r="H28" s="123">
        <f>H24+H16</f>
        <v>38719.923519999997</v>
      </c>
    </row>
    <row r="29" spans="1:9" ht="12" thickTop="1" x14ac:dyDescent="0.2">
      <c r="F29" s="26"/>
      <c r="G29" s="25"/>
    </row>
    <row r="30" spans="1:9" ht="12.75" x14ac:dyDescent="0.2">
      <c r="A30" s="227" t="s">
        <v>152</v>
      </c>
      <c r="B30" s="228"/>
      <c r="C30" s="228"/>
      <c r="D30" s="228"/>
      <c r="E30" s="228"/>
      <c r="F30" s="228"/>
      <c r="G30" s="228"/>
      <c r="H30" s="229"/>
    </row>
    <row r="31" spans="1:9" x14ac:dyDescent="0.2">
      <c r="A31" s="230" t="s">
        <v>153</v>
      </c>
      <c r="B31" s="231"/>
      <c r="C31" s="231"/>
      <c r="D31" s="231"/>
      <c r="E31" s="231"/>
      <c r="F31" s="231"/>
      <c r="G31" s="231"/>
      <c r="H31" s="232"/>
      <c r="I31" s="200" t="s">
        <v>206</v>
      </c>
    </row>
    <row r="32" spans="1:9" ht="40.5" customHeight="1" x14ac:dyDescent="0.2">
      <c r="A32" s="230" t="s">
        <v>165</v>
      </c>
      <c r="B32" s="231"/>
      <c r="C32" s="231"/>
      <c r="D32" s="231"/>
      <c r="E32" s="231"/>
      <c r="F32" s="231"/>
      <c r="G32" s="231"/>
      <c r="H32" s="232"/>
      <c r="I32" s="200" t="s">
        <v>207</v>
      </c>
    </row>
    <row r="33" spans="1:9" x14ac:dyDescent="0.2">
      <c r="F33" s="26"/>
      <c r="G33" s="5"/>
    </row>
    <row r="34" spans="1:9" x14ac:dyDescent="0.2">
      <c r="F34" s="27"/>
      <c r="G34" s="36"/>
    </row>
    <row r="35" spans="1:9" x14ac:dyDescent="0.2">
      <c r="A35" s="19"/>
      <c r="F35" s="6"/>
      <c r="G35" s="5"/>
    </row>
    <row r="36" spans="1:9" x14ac:dyDescent="0.2">
      <c r="F36" s="26"/>
      <c r="G36" s="25"/>
    </row>
    <row r="37" spans="1:9" ht="12.75" x14ac:dyDescent="0.2">
      <c r="A37" s="7" t="s">
        <v>30</v>
      </c>
      <c r="B37" s="8"/>
      <c r="C37" s="9"/>
      <c r="D37" s="9"/>
      <c r="E37" s="10"/>
      <c r="F37" s="11"/>
      <c r="G37" s="8"/>
      <c r="H37" s="8"/>
    </row>
    <row r="38" spans="1:9" s="13" customFormat="1" x14ac:dyDescent="0.2">
      <c r="A38" s="13" t="s">
        <v>23</v>
      </c>
      <c r="C38" s="14"/>
      <c r="D38" s="14"/>
      <c r="E38" s="15"/>
      <c r="F38" s="16"/>
    </row>
    <row r="39" spans="1:9" s="13" customFormat="1" x14ac:dyDescent="0.2">
      <c r="A39" s="91" t="s">
        <v>100</v>
      </c>
      <c r="B39" s="91"/>
      <c r="C39" s="92"/>
      <c r="D39" s="93"/>
      <c r="E39" s="94"/>
      <c r="F39" s="91"/>
      <c r="G39" s="91"/>
      <c r="H39" s="91"/>
      <c r="I39" s="91"/>
    </row>
    <row r="40" spans="1:9" s="13" customFormat="1" x14ac:dyDescent="0.2">
      <c r="A40" s="95" t="s">
        <v>101</v>
      </c>
      <c r="B40" s="91"/>
      <c r="C40" s="92"/>
      <c r="D40" s="93"/>
      <c r="E40" s="94"/>
      <c r="F40" s="91"/>
      <c r="G40" s="91"/>
      <c r="H40" s="91"/>
      <c r="I40" s="91"/>
    </row>
    <row r="41" spans="1:9" s="13" customFormat="1" x14ac:dyDescent="0.2">
      <c r="A41" s="95" t="s">
        <v>102</v>
      </c>
      <c r="B41" s="91"/>
      <c r="C41" s="92"/>
      <c r="D41" s="93"/>
      <c r="E41" s="94"/>
      <c r="F41" s="91"/>
      <c r="G41" s="91"/>
      <c r="H41" s="91"/>
      <c r="I41" s="91"/>
    </row>
    <row r="42" spans="1:9" s="13" customFormat="1" x14ac:dyDescent="0.2">
      <c r="A42" s="95" t="s">
        <v>111</v>
      </c>
      <c r="B42" s="91"/>
      <c r="C42" s="92"/>
      <c r="D42" s="93"/>
      <c r="E42" s="94"/>
      <c r="F42" s="91"/>
      <c r="G42" s="91"/>
      <c r="H42" s="91"/>
      <c r="I42" s="91"/>
    </row>
    <row r="43" spans="1:9" s="13" customFormat="1" ht="15.75" customHeight="1" x14ac:dyDescent="0.2">
      <c r="A43" s="95"/>
      <c r="B43" s="91"/>
      <c r="C43" s="92"/>
      <c r="D43" s="93"/>
      <c r="E43" s="94"/>
      <c r="F43" s="91"/>
      <c r="G43" s="91"/>
      <c r="H43" s="91"/>
      <c r="I43" s="91"/>
    </row>
    <row r="44" spans="1:9" s="13" customFormat="1" ht="15.75" customHeight="1" x14ac:dyDescent="0.2">
      <c r="A44" s="234" t="s">
        <v>65</v>
      </c>
      <c r="B44" s="235"/>
      <c r="C44" s="235"/>
      <c r="D44" s="235"/>
      <c r="E44" s="235"/>
      <c r="F44" s="235"/>
      <c r="G44" s="235"/>
      <c r="H44" s="236"/>
      <c r="I44" s="91"/>
    </row>
    <row r="45" spans="1:9" s="1" customFormat="1" ht="33.75" x14ac:dyDescent="0.2">
      <c r="A45" s="56" t="s">
        <v>22</v>
      </c>
      <c r="B45" s="169" t="s">
        <v>2</v>
      </c>
      <c r="C45" s="52"/>
      <c r="D45" s="58" t="s">
        <v>103</v>
      </c>
      <c r="E45" s="58" t="s">
        <v>104</v>
      </c>
      <c r="F45" s="60" t="s">
        <v>97</v>
      </c>
      <c r="G45" s="59" t="s">
        <v>1</v>
      </c>
      <c r="H45" s="59" t="s">
        <v>105</v>
      </c>
    </row>
    <row r="46" spans="1:9" x14ac:dyDescent="0.2">
      <c r="A46" s="151" t="s">
        <v>36</v>
      </c>
      <c r="B46" s="151" t="s">
        <v>31</v>
      </c>
      <c r="C46" s="152"/>
      <c r="D46" s="152">
        <v>0.1</v>
      </c>
      <c r="E46" s="153">
        <v>45000</v>
      </c>
      <c r="F46" s="154">
        <v>0.41880000000000001</v>
      </c>
      <c r="G46" s="119">
        <f>(E46*(1+F46))</f>
        <v>63846</v>
      </c>
      <c r="H46" s="120">
        <f>D46*G46</f>
        <v>6384.6</v>
      </c>
    </row>
    <row r="47" spans="1:9" x14ac:dyDescent="0.2">
      <c r="A47" s="151" t="s">
        <v>37</v>
      </c>
      <c r="B47" s="151" t="s">
        <v>40</v>
      </c>
      <c r="C47" s="155"/>
      <c r="D47" s="155">
        <v>0.05</v>
      </c>
      <c r="E47" s="153">
        <v>55000</v>
      </c>
      <c r="F47" s="156">
        <v>0.38550000000000001</v>
      </c>
      <c r="G47" s="119">
        <f>(E47*(1+F47))</f>
        <v>76202.5</v>
      </c>
      <c r="H47" s="120">
        <f>D47*G47</f>
        <v>3810.125</v>
      </c>
    </row>
    <row r="48" spans="1:9" x14ac:dyDescent="0.2">
      <c r="A48" s="151"/>
      <c r="B48" s="151"/>
      <c r="C48" s="155"/>
      <c r="D48" s="155"/>
      <c r="E48" s="153"/>
      <c r="F48" s="156"/>
      <c r="G48" s="119"/>
      <c r="H48" s="120"/>
    </row>
    <row r="49" spans="1:9" x14ac:dyDescent="0.2">
      <c r="C49" s="47"/>
      <c r="D49" s="201" t="s">
        <v>209</v>
      </c>
      <c r="F49" s="6"/>
      <c r="G49" s="5"/>
    </row>
    <row r="50" spans="1:9" x14ac:dyDescent="0.2">
      <c r="C50" s="28"/>
      <c r="D50" s="28"/>
      <c r="F50"/>
      <c r="G50" s="27" t="s">
        <v>9</v>
      </c>
      <c r="H50" s="121">
        <f>SUM(H46:H49)</f>
        <v>10194.725</v>
      </c>
    </row>
    <row r="51" spans="1:9" x14ac:dyDescent="0.2">
      <c r="C51" s="28"/>
      <c r="D51" s="28"/>
      <c r="E51" s="28"/>
      <c r="F51" s="5"/>
      <c r="G51" s="27"/>
      <c r="H51" s="29"/>
      <c r="I51" s="24"/>
    </row>
    <row r="52" spans="1:9" ht="15.75" customHeight="1" x14ac:dyDescent="0.2">
      <c r="C52" s="28"/>
      <c r="D52" s="28"/>
      <c r="E52" s="28"/>
      <c r="F52" s="5"/>
      <c r="G52" s="27"/>
      <c r="H52" s="29"/>
      <c r="I52" s="24"/>
    </row>
    <row r="53" spans="1:9" ht="15.75" customHeight="1" x14ac:dyDescent="0.2">
      <c r="A53" s="234" t="s">
        <v>66</v>
      </c>
      <c r="B53" s="235"/>
      <c r="C53" s="235"/>
      <c r="D53" s="235"/>
      <c r="E53" s="235"/>
      <c r="F53" s="235"/>
      <c r="G53" s="235"/>
      <c r="H53" s="236"/>
      <c r="I53" s="24"/>
    </row>
    <row r="54" spans="1:9" ht="33.75" x14ac:dyDescent="0.2">
      <c r="A54" s="56" t="s">
        <v>0</v>
      </c>
      <c r="B54" s="169" t="s">
        <v>2</v>
      </c>
      <c r="C54" s="58" t="s">
        <v>32</v>
      </c>
      <c r="D54" s="58" t="s">
        <v>103</v>
      </c>
      <c r="E54" s="58" t="s">
        <v>8</v>
      </c>
      <c r="F54" s="60" t="s">
        <v>97</v>
      </c>
      <c r="G54" s="59" t="s">
        <v>106</v>
      </c>
      <c r="H54" s="59" t="s">
        <v>105</v>
      </c>
    </row>
    <row r="55" spans="1:9" x14ac:dyDescent="0.2">
      <c r="A55" s="151" t="s">
        <v>38</v>
      </c>
      <c r="B55" s="157" t="s">
        <v>39</v>
      </c>
      <c r="C55" s="158">
        <v>200</v>
      </c>
      <c r="D55" s="155">
        <v>1</v>
      </c>
      <c r="E55" s="159">
        <v>10</v>
      </c>
      <c r="F55" s="154">
        <v>7.6499999999999999E-2</v>
      </c>
      <c r="G55" s="119">
        <f>C55*(E55*(1+F55))</f>
        <v>2153</v>
      </c>
      <c r="H55" s="120">
        <f>D55*G55</f>
        <v>2153</v>
      </c>
    </row>
    <row r="56" spans="1:9" x14ac:dyDescent="0.2">
      <c r="A56" s="151"/>
      <c r="B56" s="157"/>
      <c r="C56" s="158"/>
      <c r="D56" s="155"/>
      <c r="E56" s="159"/>
      <c r="F56" s="154"/>
      <c r="G56" s="119"/>
      <c r="H56" s="120"/>
    </row>
    <row r="57" spans="1:9" x14ac:dyDescent="0.2">
      <c r="C57" s="201" t="s">
        <v>208</v>
      </c>
      <c r="D57" s="201" t="s">
        <v>209</v>
      </c>
      <c r="F57" s="31"/>
      <c r="G57" s="51"/>
    </row>
    <row r="58" spans="1:9" x14ac:dyDescent="0.2">
      <c r="F58"/>
      <c r="G58" s="27" t="s">
        <v>10</v>
      </c>
      <c r="H58" s="122">
        <f>SUM(H55:H57)</f>
        <v>2153</v>
      </c>
    </row>
    <row r="59" spans="1:9" x14ac:dyDescent="0.2">
      <c r="F59" s="31"/>
      <c r="G59" s="30"/>
    </row>
    <row r="60" spans="1:9" x14ac:dyDescent="0.2">
      <c r="A60" s="32"/>
      <c r="B60" s="32"/>
      <c r="C60" s="33"/>
      <c r="D60" s="33"/>
      <c r="E60" s="12"/>
      <c r="F60" s="34"/>
      <c r="G60" s="35"/>
      <c r="H60" s="32"/>
    </row>
    <row r="61" spans="1:9" x14ac:dyDescent="0.2">
      <c r="F61" s="31"/>
      <c r="G61" s="30"/>
    </row>
    <row r="62" spans="1:9" ht="12" thickBot="1" x14ac:dyDescent="0.25">
      <c r="D62" s="5"/>
      <c r="E62"/>
      <c r="F62"/>
      <c r="G62" s="27" t="s">
        <v>187</v>
      </c>
      <c r="H62" s="123">
        <f>H58+H50</f>
        <v>12347.725</v>
      </c>
    </row>
    <row r="63" spans="1:9" ht="12" thickTop="1" x14ac:dyDescent="0.2"/>
    <row r="64" spans="1:9" x14ac:dyDescent="0.2">
      <c r="A64" s="13" t="s">
        <v>107</v>
      </c>
      <c r="C64"/>
      <c r="D64"/>
      <c r="E64"/>
      <c r="F64"/>
    </row>
    <row r="65" spans="1:9" ht="25.5" customHeight="1" x14ac:dyDescent="0.2">
      <c r="A65" s="233" t="s">
        <v>108</v>
      </c>
      <c r="B65" s="233"/>
      <c r="C65" s="233"/>
      <c r="D65" s="233"/>
      <c r="E65" s="233"/>
      <c r="F65" s="233"/>
      <c r="G65" s="233"/>
      <c r="H65" s="233"/>
      <c r="I65" s="233"/>
    </row>
    <row r="66" spans="1:9" x14ac:dyDescent="0.2">
      <c r="A66" s="13" t="s">
        <v>109</v>
      </c>
      <c r="B66" s="96" t="s">
        <v>96</v>
      </c>
      <c r="C66" s="97"/>
      <c r="D66" s="98"/>
      <c r="E66" s="99" t="s">
        <v>110</v>
      </c>
    </row>
    <row r="67" spans="1:9" x14ac:dyDescent="0.2">
      <c r="A67" s="13"/>
    </row>
    <row r="68" spans="1:9" ht="12.75" x14ac:dyDescent="0.2">
      <c r="A68" s="227" t="s">
        <v>154</v>
      </c>
      <c r="B68" s="228"/>
      <c r="C68" s="228"/>
      <c r="D68" s="228"/>
      <c r="E68" s="228"/>
      <c r="F68" s="228"/>
      <c r="G68" s="228"/>
      <c r="H68" s="229"/>
    </row>
    <row r="69" spans="1:9" x14ac:dyDescent="0.2">
      <c r="A69" s="230" t="s">
        <v>153</v>
      </c>
      <c r="B69" s="231"/>
      <c r="C69" s="231"/>
      <c r="D69" s="231"/>
      <c r="E69" s="231"/>
      <c r="F69" s="231"/>
      <c r="G69" s="231"/>
      <c r="H69" s="232"/>
      <c r="I69" s="200" t="s">
        <v>209</v>
      </c>
    </row>
    <row r="70" spans="1:9" ht="40.5" customHeight="1" x14ac:dyDescent="0.2">
      <c r="A70" s="230" t="s">
        <v>165</v>
      </c>
      <c r="B70" s="231"/>
      <c r="C70" s="231"/>
      <c r="D70" s="231"/>
      <c r="E70" s="231"/>
      <c r="F70" s="231"/>
      <c r="G70" s="231"/>
      <c r="H70" s="232"/>
      <c r="I70" s="200" t="s">
        <v>208</v>
      </c>
    </row>
    <row r="72" spans="1:9" ht="12.75" x14ac:dyDescent="0.2">
      <c r="A72" s="7" t="s">
        <v>192</v>
      </c>
      <c r="B72" s="8"/>
      <c r="C72" s="9"/>
      <c r="D72" s="10"/>
      <c r="E72" s="11"/>
      <c r="F72" s="8"/>
      <c r="G72" s="8"/>
    </row>
    <row r="73" spans="1:9" ht="33.75" x14ac:dyDescent="0.2">
      <c r="A73" s="56" t="s">
        <v>22</v>
      </c>
      <c r="B73" s="58" t="s">
        <v>174</v>
      </c>
      <c r="C73" s="58" t="s">
        <v>175</v>
      </c>
      <c r="D73" s="58" t="s">
        <v>176</v>
      </c>
      <c r="E73" s="58" t="s">
        <v>177</v>
      </c>
      <c r="F73" s="17"/>
      <c r="G73" s="181"/>
    </row>
    <row r="74" spans="1:9" x14ac:dyDescent="0.2">
      <c r="A74" s="127" t="str">
        <f>IF(+A12=0,"",A12)</f>
        <v>Employee #1</v>
      </c>
      <c r="B74" s="182">
        <f>SUMIF($A$12:$A$67,A74,$D$12:$D$67)</f>
        <v>0.1</v>
      </c>
      <c r="C74" s="189">
        <v>1</v>
      </c>
      <c r="D74" s="183" t="str">
        <f t="shared" ref="D74:D79" si="0">IF(B74&gt;C74,"Yes","No")</f>
        <v>No</v>
      </c>
      <c r="E74" s="119" t="str">
        <f t="shared" ref="E74:E79" si="1">IF(D74="Yes","Reduce LOE utilized in rates above","OK")</f>
        <v>OK</v>
      </c>
      <c r="F74" s="17"/>
      <c r="G74" s="181"/>
    </row>
    <row r="75" spans="1:9" x14ac:dyDescent="0.2">
      <c r="A75" s="127" t="str">
        <f>IF(+A13=0,"",A13)</f>
        <v>Employee #2</v>
      </c>
      <c r="B75" s="182">
        <f t="shared" ref="B75:B79" si="2">SUMIF($A$12:$A$67,A75,$D$12:$D$67)</f>
        <v>0.2</v>
      </c>
      <c r="C75" s="189">
        <v>1</v>
      </c>
      <c r="D75" s="183" t="str">
        <f t="shared" si="0"/>
        <v>No</v>
      </c>
      <c r="E75" s="119" t="str">
        <f t="shared" si="1"/>
        <v>OK</v>
      </c>
      <c r="F75"/>
    </row>
    <row r="76" spans="1:9" x14ac:dyDescent="0.2">
      <c r="A76" s="127" t="str">
        <f>IF(+A21=0,"",A21)</f>
        <v>Employee #3 (on-call)</v>
      </c>
      <c r="B76" s="182">
        <f t="shared" si="2"/>
        <v>0.9</v>
      </c>
      <c r="C76" s="189">
        <v>1</v>
      </c>
      <c r="D76" s="183" t="str">
        <f t="shared" si="0"/>
        <v>No</v>
      </c>
      <c r="E76" s="119" t="str">
        <f t="shared" si="1"/>
        <v>OK</v>
      </c>
      <c r="F76"/>
    </row>
    <row r="77" spans="1:9" x14ac:dyDescent="0.2">
      <c r="A77" s="127" t="str">
        <f>IF(+A46=0,"",A46)</f>
        <v>Employee #4</v>
      </c>
      <c r="B77" s="182">
        <f t="shared" si="2"/>
        <v>0.1</v>
      </c>
      <c r="C77" s="189">
        <v>1</v>
      </c>
      <c r="D77" s="183" t="str">
        <f t="shared" si="0"/>
        <v>No</v>
      </c>
      <c r="E77" s="119" t="str">
        <f t="shared" si="1"/>
        <v>OK</v>
      </c>
      <c r="F77" s="127"/>
    </row>
    <row r="78" spans="1:9" x14ac:dyDescent="0.2">
      <c r="A78" s="127" t="str">
        <f>IF(+A47=0,"",A47)</f>
        <v>Employee #5</v>
      </c>
      <c r="B78" s="182">
        <f t="shared" si="2"/>
        <v>0.05</v>
      </c>
      <c r="C78" s="189">
        <v>1</v>
      </c>
      <c r="D78" s="183" t="str">
        <f t="shared" si="0"/>
        <v>No</v>
      </c>
      <c r="E78" s="119" t="str">
        <f t="shared" si="1"/>
        <v>OK</v>
      </c>
      <c r="F78" s="17"/>
      <c r="G78" s="181"/>
    </row>
    <row r="79" spans="1:9" x14ac:dyDescent="0.2">
      <c r="A79" s="127" t="str">
        <f>IF(+A55=0,"",A55)</f>
        <v>Employee #6 (on-call)</v>
      </c>
      <c r="B79" s="182">
        <f t="shared" si="2"/>
        <v>1</v>
      </c>
      <c r="C79" s="189">
        <v>1</v>
      </c>
      <c r="D79" s="183" t="str">
        <f t="shared" si="0"/>
        <v>No</v>
      </c>
      <c r="E79" s="119" t="str">
        <f t="shared" si="1"/>
        <v>OK</v>
      </c>
    </row>
  </sheetData>
  <mergeCells count="12">
    <mergeCell ref="A68:H68"/>
    <mergeCell ref="A69:H69"/>
    <mergeCell ref="A70:H70"/>
    <mergeCell ref="A65:I65"/>
    <mergeCell ref="A10:H10"/>
    <mergeCell ref="A19:H19"/>
    <mergeCell ref="B11:C11"/>
    <mergeCell ref="A30:H30"/>
    <mergeCell ref="A31:H31"/>
    <mergeCell ref="A32:H32"/>
    <mergeCell ref="A44:H44"/>
    <mergeCell ref="A53:H53"/>
  </mergeCells>
  <phoneticPr fontId="0" type="noConversion"/>
  <pageMargins left="0.25" right="0.25" top="0.5" bottom="0.25" header="0.5" footer="0.5"/>
  <pageSetup scale="94"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pageSetUpPr fitToPage="1"/>
  </sheetPr>
  <dimension ref="A1:I49"/>
  <sheetViews>
    <sheetView showGridLines="0" workbookViewId="0">
      <selection activeCell="H45" sqref="H45"/>
    </sheetView>
  </sheetViews>
  <sheetFormatPr defaultRowHeight="11.25" x14ac:dyDescent="0.2"/>
  <cols>
    <col min="4" max="4" width="29.5" customWidth="1"/>
    <col min="5" max="5" width="12.83203125" style="37" customWidth="1"/>
    <col min="6" max="6" width="11.33203125" customWidth="1"/>
    <col min="7" max="7" width="10.6640625" customWidth="1"/>
  </cols>
  <sheetData>
    <row r="1" spans="1:9" ht="12" x14ac:dyDescent="0.2">
      <c r="A1" s="22"/>
      <c r="I1" s="24" t="s">
        <v>75</v>
      </c>
    </row>
    <row r="2" spans="1:9" ht="12" x14ac:dyDescent="0.2">
      <c r="A2" s="23"/>
    </row>
    <row r="3" spans="1:9" ht="12.75" x14ac:dyDescent="0.2">
      <c r="A3" s="239" t="s">
        <v>194</v>
      </c>
      <c r="B3" s="239"/>
      <c r="C3" s="239"/>
      <c r="D3" s="239"/>
      <c r="E3" s="239"/>
      <c r="F3" s="239"/>
      <c r="G3" s="239"/>
      <c r="H3" s="239"/>
      <c r="I3" s="239"/>
    </row>
    <row r="4" spans="1:9" ht="24.75" customHeight="1" x14ac:dyDescent="0.2">
      <c r="A4" s="252" t="s">
        <v>195</v>
      </c>
      <c r="B4" s="252"/>
      <c r="C4" s="252"/>
      <c r="D4" s="252"/>
      <c r="E4" s="252"/>
      <c r="F4" s="252"/>
      <c r="G4" s="252"/>
      <c r="H4" s="252"/>
      <c r="I4" s="252"/>
    </row>
    <row r="5" spans="1:9" ht="45" x14ac:dyDescent="0.2">
      <c r="A5" s="253" t="s">
        <v>3</v>
      </c>
      <c r="B5" s="253"/>
      <c r="C5" s="253"/>
      <c r="D5" s="253"/>
      <c r="E5" s="61" t="s">
        <v>51</v>
      </c>
    </row>
    <row r="6" spans="1:9" x14ac:dyDescent="0.2">
      <c r="A6" s="151" t="s">
        <v>116</v>
      </c>
      <c r="B6" s="193"/>
      <c r="C6" s="193"/>
      <c r="D6" s="193"/>
      <c r="E6" s="157">
        <v>10000</v>
      </c>
    </row>
    <row r="7" spans="1:9" x14ac:dyDescent="0.2">
      <c r="A7" s="151" t="s">
        <v>117</v>
      </c>
      <c r="B7" s="193"/>
      <c r="C7" s="193"/>
      <c r="D7" s="193"/>
      <c r="E7" s="157">
        <v>4000</v>
      </c>
    </row>
    <row r="8" spans="1:9" x14ac:dyDescent="0.2">
      <c r="A8" s="151" t="s">
        <v>118</v>
      </c>
      <c r="B8" s="193"/>
      <c r="C8" s="193"/>
      <c r="D8" s="193"/>
      <c r="E8" s="160">
        <v>500</v>
      </c>
    </row>
    <row r="9" spans="1:9" x14ac:dyDescent="0.2">
      <c r="A9" s="48"/>
      <c r="E9" s="54"/>
    </row>
    <row r="10" spans="1:9" ht="12" thickBot="1" x14ac:dyDescent="0.25">
      <c r="A10" s="48"/>
      <c r="D10" s="17" t="s">
        <v>196</v>
      </c>
      <c r="E10" s="124">
        <f>SUM(E6:E8)</f>
        <v>14500</v>
      </c>
    </row>
    <row r="11" spans="1:9" ht="12" thickTop="1" x14ac:dyDescent="0.2">
      <c r="E11"/>
    </row>
    <row r="12" spans="1:9" ht="12.75" x14ac:dyDescent="0.2">
      <c r="A12" s="239" t="s">
        <v>61</v>
      </c>
      <c r="B12" s="239"/>
      <c r="C12" s="239"/>
      <c r="D12" s="239"/>
      <c r="E12" s="239"/>
      <c r="F12" s="239"/>
      <c r="G12" s="239"/>
      <c r="H12" s="239"/>
      <c r="I12" s="239"/>
    </row>
    <row r="13" spans="1:9" x14ac:dyDescent="0.2">
      <c r="A13" s="13" t="s">
        <v>46</v>
      </c>
    </row>
    <row r="14" spans="1:9" x14ac:dyDescent="0.2">
      <c r="E14" s="38"/>
    </row>
    <row r="15" spans="1:9" ht="22.5" x14ac:dyDescent="0.2">
      <c r="A15" s="240" t="s">
        <v>115</v>
      </c>
      <c r="B15" s="241"/>
      <c r="C15" s="241"/>
      <c r="D15" s="242"/>
      <c r="E15" s="63" t="s">
        <v>59</v>
      </c>
    </row>
    <row r="16" spans="1:9" x14ac:dyDescent="0.2">
      <c r="A16" s="151" t="s">
        <v>125</v>
      </c>
      <c r="B16" s="151"/>
      <c r="C16" s="151"/>
      <c r="D16" s="151"/>
      <c r="E16" s="157">
        <v>2500</v>
      </c>
    </row>
    <row r="17" spans="1:9" x14ac:dyDescent="0.2">
      <c r="A17" s="151" t="s">
        <v>126</v>
      </c>
      <c r="B17" s="151"/>
      <c r="C17" s="151"/>
      <c r="D17" s="151"/>
      <c r="E17" s="157">
        <v>1200</v>
      </c>
    </row>
    <row r="18" spans="1:9" x14ac:dyDescent="0.2">
      <c r="A18" s="151" t="s">
        <v>127</v>
      </c>
      <c r="B18" s="151"/>
      <c r="C18" s="151"/>
      <c r="D18" s="151"/>
      <c r="E18" s="157">
        <v>1200</v>
      </c>
    </row>
    <row r="19" spans="1:9" x14ac:dyDescent="0.2">
      <c r="A19" s="151" t="s">
        <v>128</v>
      </c>
      <c r="B19" s="151"/>
      <c r="C19" s="151"/>
      <c r="D19" s="151"/>
      <c r="E19" s="157">
        <v>1500</v>
      </c>
    </row>
    <row r="20" spans="1:9" x14ac:dyDescent="0.2">
      <c r="A20" s="151" t="s">
        <v>129</v>
      </c>
      <c r="B20" s="151"/>
      <c r="C20" s="151"/>
      <c r="D20" s="151"/>
      <c r="E20" s="160">
        <v>2500</v>
      </c>
    </row>
    <row r="21" spans="1:9" x14ac:dyDescent="0.2">
      <c r="A21" s="151"/>
      <c r="B21" s="151"/>
      <c r="C21" s="151"/>
      <c r="D21" s="151"/>
      <c r="E21" s="160"/>
    </row>
    <row r="22" spans="1:9" x14ac:dyDescent="0.2">
      <c r="E22" s="20"/>
    </row>
    <row r="23" spans="1:9" ht="12" thickBot="1" x14ac:dyDescent="0.25">
      <c r="D23" s="17" t="s">
        <v>197</v>
      </c>
      <c r="E23" s="124">
        <f>SUM(E16:E22)</f>
        <v>8900</v>
      </c>
    </row>
    <row r="24" spans="1:9" ht="12" thickTop="1" x14ac:dyDescent="0.2">
      <c r="E24" s="20"/>
    </row>
    <row r="25" spans="1:9" ht="18.75" customHeight="1" thickBot="1" x14ac:dyDescent="0.25">
      <c r="D25" s="17" t="s">
        <v>189</v>
      </c>
      <c r="E25" s="124">
        <f>SUM(E10,E23)</f>
        <v>23400</v>
      </c>
    </row>
    <row r="26" spans="1:9" ht="12" thickTop="1" x14ac:dyDescent="0.2"/>
    <row r="27" spans="1:9" x14ac:dyDescent="0.2">
      <c r="A27" s="62"/>
      <c r="B27" s="62"/>
      <c r="C27" s="62"/>
      <c r="D27" s="62"/>
      <c r="E27" s="50"/>
      <c r="F27" s="62"/>
      <c r="G27" s="62"/>
      <c r="H27" s="62"/>
      <c r="I27" s="62"/>
    </row>
    <row r="31" spans="1:9" ht="12.75" x14ac:dyDescent="0.2">
      <c r="A31" s="239" t="s">
        <v>62</v>
      </c>
      <c r="B31" s="239"/>
      <c r="C31" s="239"/>
      <c r="D31" s="239"/>
      <c r="E31" s="239"/>
      <c r="F31" s="239"/>
      <c r="G31" s="239"/>
      <c r="H31" s="239"/>
      <c r="I31" s="239"/>
    </row>
    <row r="32" spans="1:9" x14ac:dyDescent="0.2">
      <c r="A32" s="13" t="s">
        <v>57</v>
      </c>
    </row>
    <row r="33" spans="1:8" x14ac:dyDescent="0.2">
      <c r="E33" s="38"/>
      <c r="F33" s="202" t="s">
        <v>206</v>
      </c>
    </row>
    <row r="34" spans="1:8" ht="45" x14ac:dyDescent="0.2">
      <c r="A34" s="240" t="s">
        <v>3</v>
      </c>
      <c r="B34" s="241"/>
      <c r="C34" s="241"/>
      <c r="D34" s="242"/>
      <c r="E34" s="63" t="s">
        <v>59</v>
      </c>
      <c r="F34" s="59" t="s">
        <v>167</v>
      </c>
      <c r="G34" s="59" t="s">
        <v>50</v>
      </c>
    </row>
    <row r="35" spans="1:8" x14ac:dyDescent="0.2">
      <c r="A35" s="151" t="s">
        <v>16</v>
      </c>
      <c r="B35" s="151"/>
      <c r="C35" s="151"/>
      <c r="D35" s="151"/>
      <c r="E35" s="157">
        <v>1200</v>
      </c>
      <c r="F35" s="163">
        <v>0.25</v>
      </c>
      <c r="G35" s="126">
        <f t="shared" ref="G35:G40" si="0">E35*F35</f>
        <v>300</v>
      </c>
    </row>
    <row r="36" spans="1:8" x14ac:dyDescent="0.2">
      <c r="A36" s="151" t="s">
        <v>169</v>
      </c>
      <c r="B36" s="151"/>
      <c r="C36" s="151"/>
      <c r="D36" s="151"/>
      <c r="E36" s="157">
        <v>300</v>
      </c>
      <c r="F36" s="163">
        <v>0.25</v>
      </c>
      <c r="G36" s="126">
        <f t="shared" si="0"/>
        <v>75</v>
      </c>
    </row>
    <row r="37" spans="1:8" x14ac:dyDescent="0.2">
      <c r="A37" s="151" t="s">
        <v>53</v>
      </c>
      <c r="B37" s="151"/>
      <c r="C37" s="151"/>
      <c r="D37" s="151"/>
      <c r="E37" s="157">
        <v>7000</v>
      </c>
      <c r="F37" s="163">
        <v>0.25</v>
      </c>
      <c r="G37" s="126">
        <f t="shared" si="0"/>
        <v>1750</v>
      </c>
    </row>
    <row r="38" spans="1:8" x14ac:dyDescent="0.2">
      <c r="A38" s="151" t="s">
        <v>52</v>
      </c>
      <c r="B38" s="151"/>
      <c r="C38" s="151"/>
      <c r="D38" s="151"/>
      <c r="E38" s="157">
        <v>2000</v>
      </c>
      <c r="F38" s="163">
        <v>0.25</v>
      </c>
      <c r="G38" s="126">
        <f t="shared" si="0"/>
        <v>500</v>
      </c>
    </row>
    <row r="39" spans="1:8" x14ac:dyDescent="0.2">
      <c r="A39" s="151" t="s">
        <v>54</v>
      </c>
      <c r="B39" s="151"/>
      <c r="C39" s="151"/>
      <c r="D39" s="151"/>
      <c r="E39" s="157">
        <v>400</v>
      </c>
      <c r="F39" s="163">
        <v>0.25</v>
      </c>
      <c r="G39" s="126">
        <f t="shared" si="0"/>
        <v>100</v>
      </c>
    </row>
    <row r="40" spans="1:8" x14ac:dyDescent="0.2">
      <c r="A40" s="151" t="s">
        <v>58</v>
      </c>
      <c r="B40" s="151"/>
      <c r="C40" s="151"/>
      <c r="D40" s="151"/>
      <c r="E40" s="160">
        <v>7500</v>
      </c>
      <c r="F40" s="163">
        <v>0.25</v>
      </c>
      <c r="G40" s="126">
        <f t="shared" si="0"/>
        <v>1875</v>
      </c>
    </row>
    <row r="41" spans="1:8" x14ac:dyDescent="0.2">
      <c r="A41" s="151"/>
      <c r="B41" s="151"/>
      <c r="C41" s="151"/>
      <c r="D41" s="151"/>
      <c r="E41" s="160"/>
      <c r="F41" s="163"/>
      <c r="G41" s="126"/>
    </row>
    <row r="42" spans="1:8" x14ac:dyDescent="0.2">
      <c r="E42" s="53"/>
    </row>
    <row r="43" spans="1:8" x14ac:dyDescent="0.2">
      <c r="A43" s="24" t="s">
        <v>60</v>
      </c>
    </row>
    <row r="44" spans="1:8" ht="20.100000000000001" customHeight="1" x14ac:dyDescent="0.2">
      <c r="B44" s="243" t="s">
        <v>168</v>
      </c>
      <c r="C44" s="244"/>
      <c r="D44" s="244"/>
      <c r="E44" s="244"/>
      <c r="F44" s="244"/>
      <c r="G44" s="245"/>
    </row>
    <row r="45" spans="1:8" ht="20.100000000000001" customHeight="1" x14ac:dyDescent="0.2">
      <c r="B45" s="246"/>
      <c r="C45" s="247"/>
      <c r="D45" s="247"/>
      <c r="E45" s="247"/>
      <c r="F45" s="247"/>
      <c r="G45" s="248"/>
      <c r="H45" s="200" t="s">
        <v>206</v>
      </c>
    </row>
    <row r="46" spans="1:8" ht="20.100000000000001" customHeight="1" x14ac:dyDescent="0.2">
      <c r="B46" s="249"/>
      <c r="C46" s="250"/>
      <c r="D46" s="250"/>
      <c r="E46" s="250"/>
      <c r="F46" s="250"/>
      <c r="G46" s="251"/>
    </row>
    <row r="47" spans="1:8" x14ac:dyDescent="0.2">
      <c r="B47" s="55"/>
      <c r="C47" s="55"/>
      <c r="D47" s="55"/>
      <c r="E47" s="55"/>
      <c r="F47" s="55"/>
      <c r="G47" s="55"/>
    </row>
    <row r="48" spans="1:8" ht="18.75" customHeight="1" thickBot="1" x14ac:dyDescent="0.25">
      <c r="F48" s="17" t="s">
        <v>188</v>
      </c>
      <c r="G48" s="124">
        <f>SUM(G35:G43)</f>
        <v>4600</v>
      </c>
    </row>
    <row r="49" spans="1:9" ht="12" thickTop="1" x14ac:dyDescent="0.2">
      <c r="A49" s="32"/>
      <c r="B49" s="32"/>
      <c r="C49" s="32"/>
      <c r="D49" s="32"/>
      <c r="E49" s="39"/>
      <c r="F49" s="32"/>
      <c r="G49" s="32"/>
      <c r="H49" s="32"/>
      <c r="I49" s="32"/>
    </row>
  </sheetData>
  <mergeCells count="8">
    <mergeCell ref="A31:I31"/>
    <mergeCell ref="A34:D34"/>
    <mergeCell ref="B44:G46"/>
    <mergeCell ref="A3:I3"/>
    <mergeCell ref="A4:I4"/>
    <mergeCell ref="A5:D5"/>
    <mergeCell ref="A12:I12"/>
    <mergeCell ref="A15:D15"/>
  </mergeCells>
  <phoneticPr fontId="0" type="noConversion"/>
  <pageMargins left="0.75" right="0.6"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M42"/>
  <sheetViews>
    <sheetView showGridLines="0" workbookViewId="0">
      <selection activeCell="L36" sqref="L36"/>
    </sheetView>
  </sheetViews>
  <sheetFormatPr defaultRowHeight="11.25" x14ac:dyDescent="0.2"/>
  <cols>
    <col min="1" max="1" width="23.33203125" customWidth="1"/>
    <col min="2" max="3" width="15.1640625" customWidth="1"/>
    <col min="4" max="4" width="11" customWidth="1"/>
    <col min="5" max="5" width="10.6640625" customWidth="1"/>
    <col min="6" max="9" width="11.1640625" customWidth="1"/>
    <col min="11" max="11" width="10.5" bestFit="1" customWidth="1"/>
  </cols>
  <sheetData>
    <row r="1" spans="1:13" ht="12" x14ac:dyDescent="0.2">
      <c r="A1" s="22"/>
      <c r="B1" s="22"/>
      <c r="C1" s="22"/>
      <c r="K1" s="37"/>
      <c r="L1" s="24" t="s">
        <v>20</v>
      </c>
    </row>
    <row r="2" spans="1:13" ht="12" x14ac:dyDescent="0.2">
      <c r="A2" s="23"/>
      <c r="B2" s="23"/>
      <c r="C2" s="23"/>
      <c r="K2" s="37"/>
    </row>
    <row r="3" spans="1:13" ht="12.75" x14ac:dyDescent="0.2">
      <c r="A3" s="239" t="s">
        <v>49</v>
      </c>
      <c r="B3" s="239"/>
      <c r="C3" s="239"/>
      <c r="D3" s="239"/>
      <c r="E3" s="239"/>
      <c r="F3" s="239"/>
      <c r="G3" s="239"/>
      <c r="H3" s="239"/>
      <c r="I3" s="239"/>
      <c r="J3" s="239"/>
      <c r="K3" s="239"/>
      <c r="L3" s="239"/>
      <c r="M3" s="81"/>
    </row>
    <row r="4" spans="1:13" x14ac:dyDescent="0.2">
      <c r="A4" s="13" t="s">
        <v>64</v>
      </c>
      <c r="B4" s="13"/>
      <c r="C4" s="13"/>
      <c r="K4" s="37"/>
    </row>
    <row r="5" spans="1:13" x14ac:dyDescent="0.2">
      <c r="A5" s="168" t="s">
        <v>162</v>
      </c>
      <c r="K5" s="37"/>
    </row>
    <row r="6" spans="1:13" x14ac:dyDescent="0.2">
      <c r="A6" s="168" t="s">
        <v>210</v>
      </c>
    </row>
    <row r="7" spans="1:13" x14ac:dyDescent="0.2">
      <c r="A7" s="168" t="s">
        <v>211</v>
      </c>
    </row>
    <row r="8" spans="1:13" x14ac:dyDescent="0.2">
      <c r="A8" s="168"/>
    </row>
    <row r="9" spans="1:13" ht="12.75" x14ac:dyDescent="0.2">
      <c r="A9" s="234" t="s">
        <v>160</v>
      </c>
      <c r="B9" s="235"/>
      <c r="C9" s="235"/>
      <c r="D9" s="235"/>
      <c r="E9" s="235"/>
      <c r="F9" s="235"/>
      <c r="G9" s="235"/>
      <c r="H9" s="235"/>
      <c r="I9" s="235"/>
      <c r="J9" s="235"/>
      <c r="K9" s="236"/>
    </row>
    <row r="10" spans="1:13" s="40" customFormat="1" ht="45" x14ac:dyDescent="0.2">
      <c r="A10" s="2" t="s">
        <v>3</v>
      </c>
      <c r="B10" s="2" t="s">
        <v>119</v>
      </c>
      <c r="C10" s="2" t="s">
        <v>120</v>
      </c>
      <c r="D10" s="2" t="s">
        <v>17</v>
      </c>
      <c r="E10" s="2" t="s">
        <v>18</v>
      </c>
      <c r="F10" s="2" t="s">
        <v>19</v>
      </c>
      <c r="G10" s="2" t="s">
        <v>157</v>
      </c>
      <c r="H10" s="2" t="s">
        <v>158</v>
      </c>
      <c r="I10" s="2" t="s">
        <v>159</v>
      </c>
      <c r="J10" s="52" t="s">
        <v>167</v>
      </c>
      <c r="K10" s="18" t="s">
        <v>50</v>
      </c>
    </row>
    <row r="11" spans="1:13" s="48" customFormat="1" x14ac:dyDescent="0.2">
      <c r="A11" s="151" t="s">
        <v>41</v>
      </c>
      <c r="B11" s="151" t="s">
        <v>121</v>
      </c>
      <c r="C11" s="151" t="s">
        <v>33</v>
      </c>
      <c r="D11" s="161">
        <v>15000</v>
      </c>
      <c r="E11" s="162">
        <v>7</v>
      </c>
      <c r="F11" s="125">
        <f>IFERROR(+D11/E11,0)</f>
        <v>2142.8571428571427</v>
      </c>
      <c r="G11" s="170">
        <v>42614</v>
      </c>
      <c r="H11" s="171">
        <f>IF((('.1 Cover'!$C$4-G11)/365)&gt;E11,E11,('.1 Cover'!$C$4-G11)/365)</f>
        <v>6.2465753424657535</v>
      </c>
      <c r="I11" s="171">
        <f>IF((E11-H11)&lt;0,0,E11-H11)</f>
        <v>0.75342465753424648</v>
      </c>
      <c r="J11" s="163">
        <v>1</v>
      </c>
      <c r="K11" s="126">
        <f>IF(I11&lt;1,F11*I11*J11,F11*J11)</f>
        <v>1614.4814090019565</v>
      </c>
    </row>
    <row r="12" spans="1:13" s="48" customFormat="1" x14ac:dyDescent="0.2">
      <c r="A12" s="151" t="s">
        <v>55</v>
      </c>
      <c r="B12" s="151" t="s">
        <v>121</v>
      </c>
      <c r="C12" s="151" t="s">
        <v>33</v>
      </c>
      <c r="D12" s="161">
        <v>10000</v>
      </c>
      <c r="E12" s="162">
        <v>7</v>
      </c>
      <c r="F12" s="125">
        <f>IFERROR(+D12/E12,0)</f>
        <v>1428.5714285714287</v>
      </c>
      <c r="G12" s="170">
        <v>43344</v>
      </c>
      <c r="H12" s="171">
        <f>IF((('.1 Cover'!$C$4-G12)/365)&gt;E12,E12,('.1 Cover'!$C$4-G12)/365)</f>
        <v>4.2465753424657535</v>
      </c>
      <c r="I12" s="171">
        <f>IF((E12-H12)&lt;0,0,E12-H12)</f>
        <v>2.7534246575342465</v>
      </c>
      <c r="J12" s="163">
        <v>0.05</v>
      </c>
      <c r="K12" s="126">
        <f>IF(I12&lt;1,F12*I12*J12,F12*J12)</f>
        <v>71.428571428571431</v>
      </c>
    </row>
    <row r="13" spans="1:13" s="48" customFormat="1" x14ac:dyDescent="0.2">
      <c r="A13" s="151" t="s">
        <v>42</v>
      </c>
      <c r="B13" s="151" t="s">
        <v>121</v>
      </c>
      <c r="C13" s="151" t="s">
        <v>33</v>
      </c>
      <c r="D13" s="161">
        <v>25000</v>
      </c>
      <c r="E13" s="162">
        <v>7</v>
      </c>
      <c r="F13" s="125">
        <f>IFERROR(+D13/E13,0)</f>
        <v>3571.4285714285716</v>
      </c>
      <c r="G13" s="170">
        <v>43739</v>
      </c>
      <c r="H13" s="171">
        <f>IF((('.1 Cover'!$C$4-G13)/365)&gt;E13,E13,('.1 Cover'!$C$4-G13)/365)</f>
        <v>3.1643835616438358</v>
      </c>
      <c r="I13" s="171">
        <f>IF((E13-H13)&lt;0,0,E13-H13)</f>
        <v>3.8356164383561642</v>
      </c>
      <c r="J13" s="163">
        <v>0.5</v>
      </c>
      <c r="K13" s="126">
        <f>IF(I13&lt;1,F13*I13*J13,F13*J13)</f>
        <v>1785.7142857142858</v>
      </c>
    </row>
    <row r="14" spans="1:13" s="48" customFormat="1" x14ac:dyDescent="0.2">
      <c r="A14" s="151" t="s">
        <v>43</v>
      </c>
      <c r="B14" s="151" t="s">
        <v>121</v>
      </c>
      <c r="C14" s="151" t="s">
        <v>33</v>
      </c>
      <c r="D14" s="161">
        <v>5000</v>
      </c>
      <c r="E14" s="162">
        <v>7</v>
      </c>
      <c r="F14" s="125">
        <f>IFERROR(+D14/E14,0)</f>
        <v>714.28571428571433</v>
      </c>
      <c r="G14" s="170">
        <v>44531</v>
      </c>
      <c r="H14" s="171">
        <f>IF((('.1 Cover'!$C$4-G14)/365)&gt;E14,E14,('.1 Cover'!$C$4-G14)/365)</f>
        <v>0.9945205479452055</v>
      </c>
      <c r="I14" s="171">
        <f>IF((E14-H14)&lt;0,0,E14-H14)</f>
        <v>6.0054794520547947</v>
      </c>
      <c r="J14" s="163">
        <v>1</v>
      </c>
      <c r="K14" s="126">
        <f>IF(I14&lt;1,F14*I14*J14,F14*J14)</f>
        <v>714.28571428571433</v>
      </c>
    </row>
    <row r="15" spans="1:13" s="48" customFormat="1" x14ac:dyDescent="0.2">
      <c r="A15" s="151" t="s">
        <v>44</v>
      </c>
      <c r="B15" s="151" t="s">
        <v>121</v>
      </c>
      <c r="C15" s="151" t="s">
        <v>33</v>
      </c>
      <c r="D15" s="161">
        <v>5250</v>
      </c>
      <c r="E15" s="162">
        <v>5</v>
      </c>
      <c r="F15" s="125">
        <f>IFERROR(+D15/E15,0)</f>
        <v>1050</v>
      </c>
      <c r="G15" s="170">
        <v>42156</v>
      </c>
      <c r="H15" s="171">
        <f>IF((('.1 Cover'!$C$4-G15)/365)&gt;E15,E15,('.1 Cover'!$C$4-G15)/365)</f>
        <v>5</v>
      </c>
      <c r="I15" s="171">
        <f>IF((E15-H15)&lt;0,0,E15-H15)</f>
        <v>0</v>
      </c>
      <c r="J15" s="163">
        <v>0.8</v>
      </c>
      <c r="K15" s="126">
        <f>IF(I15&lt;1,F15*I15*J15,F15*J15)</f>
        <v>0</v>
      </c>
    </row>
    <row r="16" spans="1:13" s="48" customFormat="1" x14ac:dyDescent="0.2">
      <c r="A16" s="151"/>
      <c r="B16" s="151"/>
      <c r="C16" s="151"/>
      <c r="D16" s="161"/>
      <c r="E16" s="162"/>
      <c r="F16" s="125"/>
      <c r="G16" s="170"/>
      <c r="H16" s="171"/>
      <c r="I16" s="171"/>
      <c r="J16" s="163"/>
      <c r="K16" s="126"/>
    </row>
    <row r="17" spans="1:11" x14ac:dyDescent="0.2">
      <c r="D17" s="41"/>
      <c r="E17" s="3"/>
      <c r="F17" s="41"/>
      <c r="J17" s="201" t="s">
        <v>206</v>
      </c>
      <c r="K17" s="127"/>
    </row>
    <row r="18" spans="1:11" s="24" customFormat="1" ht="11.25" customHeight="1" x14ac:dyDescent="0.2">
      <c r="D18" s="42"/>
      <c r="J18" s="17" t="s">
        <v>161</v>
      </c>
      <c r="K18" s="128">
        <f>SUM(K11:K17)</f>
        <v>4185.9099804305279</v>
      </c>
    </row>
    <row r="19" spans="1:11" x14ac:dyDescent="0.2">
      <c r="A19" s="32"/>
      <c r="B19" s="32"/>
      <c r="C19" s="32"/>
      <c r="D19" s="39"/>
      <c r="E19" s="32"/>
      <c r="F19" s="32"/>
      <c r="G19" s="32"/>
      <c r="H19" s="32"/>
      <c r="I19" s="32"/>
      <c r="J19" s="32"/>
      <c r="K19" s="32"/>
    </row>
    <row r="20" spans="1:11" x14ac:dyDescent="0.2">
      <c r="D20" s="37"/>
    </row>
    <row r="21" spans="1:11" x14ac:dyDescent="0.2">
      <c r="D21" s="37"/>
    </row>
    <row r="22" spans="1:11" x14ac:dyDescent="0.2">
      <c r="D22" s="37"/>
    </row>
    <row r="23" spans="1:11" ht="12.75" x14ac:dyDescent="0.2">
      <c r="A23" s="234" t="s">
        <v>45</v>
      </c>
      <c r="B23" s="235"/>
      <c r="C23" s="235"/>
      <c r="D23" s="235"/>
      <c r="E23" s="235"/>
      <c r="F23" s="235"/>
      <c r="G23" s="235"/>
      <c r="H23" s="235"/>
      <c r="I23" s="235"/>
      <c r="J23" s="235"/>
      <c r="K23" s="236"/>
    </row>
    <row r="24" spans="1:11" ht="45" x14ac:dyDescent="0.2">
      <c r="A24" s="254" t="s">
        <v>115</v>
      </c>
      <c r="B24" s="254"/>
      <c r="C24" s="254"/>
      <c r="D24" s="254"/>
      <c r="E24" s="254"/>
      <c r="F24" s="2"/>
      <c r="G24" s="2"/>
      <c r="H24" s="2"/>
      <c r="I24" s="2" t="s">
        <v>19</v>
      </c>
      <c r="J24" s="52" t="s">
        <v>167</v>
      </c>
      <c r="K24" s="18" t="s">
        <v>50</v>
      </c>
    </row>
    <row r="25" spans="1:11" s="48" customFormat="1" x14ac:dyDescent="0.2">
      <c r="A25" s="151" t="s">
        <v>122</v>
      </c>
      <c r="B25" s="151"/>
      <c r="C25" s="151"/>
      <c r="D25" s="164"/>
      <c r="E25" s="151"/>
      <c r="F25" s="161"/>
      <c r="G25" s="161"/>
      <c r="H25" s="161"/>
      <c r="I25" s="161">
        <v>2000</v>
      </c>
      <c r="J25" s="165">
        <v>0.8</v>
      </c>
      <c r="K25" s="129">
        <f>I25*J25</f>
        <v>1600</v>
      </c>
    </row>
    <row r="26" spans="1:11" s="48" customFormat="1" x14ac:dyDescent="0.2">
      <c r="A26" s="151" t="s">
        <v>123</v>
      </c>
      <c r="B26" s="151"/>
      <c r="C26" s="151"/>
      <c r="D26" s="164"/>
      <c r="E26" s="151"/>
      <c r="F26" s="164"/>
      <c r="G26" s="164"/>
      <c r="H26" s="164"/>
      <c r="I26" s="164">
        <v>1000</v>
      </c>
      <c r="J26" s="163">
        <v>1</v>
      </c>
      <c r="K26" s="125">
        <f>I26*J26</f>
        <v>1000</v>
      </c>
    </row>
    <row r="27" spans="1:11" s="48" customFormat="1" x14ac:dyDescent="0.2">
      <c r="A27" s="151" t="s">
        <v>124</v>
      </c>
      <c r="B27" s="151"/>
      <c r="C27" s="151"/>
      <c r="D27" s="164"/>
      <c r="E27" s="151"/>
      <c r="F27" s="164"/>
      <c r="G27" s="164"/>
      <c r="H27" s="164"/>
      <c r="I27" s="164">
        <v>3000</v>
      </c>
      <c r="J27" s="163">
        <v>0.05</v>
      </c>
      <c r="K27" s="125">
        <f>I27*J27</f>
        <v>150</v>
      </c>
    </row>
    <row r="28" spans="1:11" s="48" customFormat="1" x14ac:dyDescent="0.2">
      <c r="A28" s="151"/>
      <c r="B28" s="151"/>
      <c r="C28" s="151"/>
      <c r="D28" s="164"/>
      <c r="E28" s="151"/>
      <c r="F28" s="164"/>
      <c r="G28" s="164"/>
      <c r="H28" s="164"/>
      <c r="I28" s="164"/>
      <c r="J28" s="163"/>
      <c r="K28" s="125"/>
    </row>
    <row r="29" spans="1:11" x14ac:dyDescent="0.2">
      <c r="D29" s="37"/>
      <c r="J29" s="201" t="s">
        <v>206</v>
      </c>
      <c r="K29" s="127"/>
    </row>
    <row r="30" spans="1:11" x14ac:dyDescent="0.2">
      <c r="D30" s="37"/>
      <c r="J30" s="17" t="s">
        <v>56</v>
      </c>
      <c r="K30" s="128">
        <f>SUM(K25:K29)</f>
        <v>2750</v>
      </c>
    </row>
    <row r="31" spans="1:11" x14ac:dyDescent="0.2">
      <c r="A31" s="32"/>
      <c r="B31" s="32"/>
      <c r="C31" s="32"/>
      <c r="D31" s="39"/>
      <c r="E31" s="32"/>
      <c r="F31" s="32"/>
      <c r="G31" s="32"/>
      <c r="H31" s="32"/>
      <c r="I31" s="32"/>
      <c r="J31" s="32"/>
      <c r="K31" s="32"/>
    </row>
    <row r="32" spans="1:11" x14ac:dyDescent="0.2">
      <c r="D32" s="37"/>
    </row>
    <row r="33" spans="1:12" x14ac:dyDescent="0.2">
      <c r="D33" s="37"/>
    </row>
    <row r="34" spans="1:12" x14ac:dyDescent="0.2">
      <c r="A34" s="24" t="s">
        <v>60</v>
      </c>
      <c r="B34" s="24"/>
      <c r="C34" s="24"/>
      <c r="J34" s="37"/>
    </row>
    <row r="35" spans="1:12" ht="20.100000000000001" customHeight="1" x14ac:dyDescent="0.2">
      <c r="D35" s="243" t="s">
        <v>166</v>
      </c>
      <c r="E35" s="244"/>
      <c r="F35" s="244"/>
      <c r="G35" s="244"/>
      <c r="H35" s="244"/>
      <c r="I35" s="244"/>
      <c r="J35" s="244"/>
      <c r="K35" s="245"/>
    </row>
    <row r="36" spans="1:12" ht="20.100000000000001" customHeight="1" x14ac:dyDescent="0.2">
      <c r="D36" s="246"/>
      <c r="E36" s="247"/>
      <c r="F36" s="247"/>
      <c r="G36" s="247"/>
      <c r="H36" s="247"/>
      <c r="I36" s="247"/>
      <c r="J36" s="247"/>
      <c r="K36" s="248"/>
      <c r="L36" s="200" t="s">
        <v>206</v>
      </c>
    </row>
    <row r="37" spans="1:12" ht="20.100000000000001" customHeight="1" x14ac:dyDescent="0.2">
      <c r="D37" s="249"/>
      <c r="E37" s="250"/>
      <c r="F37" s="250"/>
      <c r="G37" s="250"/>
      <c r="H37" s="250"/>
      <c r="I37" s="250"/>
      <c r="J37" s="250"/>
      <c r="K37" s="251"/>
    </row>
    <row r="38" spans="1:12" x14ac:dyDescent="0.2">
      <c r="D38" s="37"/>
    </row>
    <row r="39" spans="1:12" ht="15.75" customHeight="1" thickBot="1" x14ac:dyDescent="0.25">
      <c r="A39" s="24"/>
      <c r="B39" s="24"/>
      <c r="C39" s="24"/>
      <c r="D39" s="42"/>
      <c r="J39" s="17" t="s">
        <v>190</v>
      </c>
      <c r="K39" s="130">
        <f>+K18+K30</f>
        <v>6935.9099804305279</v>
      </c>
    </row>
    <row r="40" spans="1:12" ht="12" thickTop="1" x14ac:dyDescent="0.2">
      <c r="D40" s="37"/>
    </row>
    <row r="41" spans="1:12" x14ac:dyDescent="0.2">
      <c r="D41" s="37"/>
    </row>
    <row r="42" spans="1:12" x14ac:dyDescent="0.2">
      <c r="D42" s="37"/>
    </row>
  </sheetData>
  <mergeCells count="5">
    <mergeCell ref="A24:E24"/>
    <mergeCell ref="A9:K9"/>
    <mergeCell ref="A23:K23"/>
    <mergeCell ref="D35:K37"/>
    <mergeCell ref="A3:L3"/>
  </mergeCells>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A1:M55"/>
  <sheetViews>
    <sheetView showGridLines="0" tabSelected="1" topLeftCell="A7" workbookViewId="0">
      <selection activeCell="N41" sqref="N41"/>
    </sheetView>
  </sheetViews>
  <sheetFormatPr defaultColWidth="9.33203125" defaultRowHeight="11.25" x14ac:dyDescent="0.2"/>
  <cols>
    <col min="1" max="1" width="9.33203125" style="66"/>
    <col min="2" max="2" width="13.5" style="66" customWidth="1"/>
    <col min="3" max="3" width="6.1640625" style="66" customWidth="1"/>
    <col min="4" max="4" width="12.6640625" style="66" customWidth="1"/>
    <col min="5" max="7" width="9.33203125" style="66"/>
    <col min="8" max="8" width="20.83203125" style="66" customWidth="1"/>
    <col min="9" max="9" width="14.1640625" style="66" bestFit="1" customWidth="1"/>
    <col min="10" max="10" width="13.5" style="66" customWidth="1"/>
    <col min="11" max="11" width="11.5" style="66" customWidth="1"/>
    <col min="12" max="12" width="9.33203125" style="66"/>
    <col min="13" max="13" width="11.1640625" style="66" customWidth="1"/>
    <col min="14" max="16384" width="9.33203125" style="66"/>
  </cols>
  <sheetData>
    <row r="1" spans="1:9" ht="12.75" x14ac:dyDescent="0.2">
      <c r="A1" s="87" t="s">
        <v>77</v>
      </c>
      <c r="B1" s="87"/>
      <c r="C1" s="87"/>
      <c r="D1" s="87"/>
      <c r="E1" s="87"/>
      <c r="F1" s="87"/>
      <c r="G1" s="87"/>
      <c r="H1" s="45"/>
      <c r="I1" s="45" t="s">
        <v>78</v>
      </c>
    </row>
    <row r="2" spans="1:9" ht="12.75" x14ac:dyDescent="0.2">
      <c r="A2" s="45"/>
      <c r="B2" s="45"/>
      <c r="C2" s="45"/>
      <c r="D2" s="45"/>
      <c r="E2" s="45"/>
      <c r="F2" s="45"/>
      <c r="G2" s="45"/>
      <c r="H2" s="45"/>
      <c r="I2" s="45"/>
    </row>
    <row r="3" spans="1:9" s="43" customFormat="1" ht="32.25" customHeight="1" x14ac:dyDescent="0.2">
      <c r="A3" s="264" t="s">
        <v>79</v>
      </c>
      <c r="B3" s="264"/>
      <c r="C3" s="264"/>
      <c r="D3" s="264"/>
      <c r="E3" s="264"/>
      <c r="F3" s="264"/>
      <c r="G3" s="264"/>
      <c r="H3" s="264"/>
      <c r="I3" s="264"/>
    </row>
    <row r="4" spans="1:9" s="43" customFormat="1" ht="18.75" customHeight="1" x14ac:dyDescent="0.2">
      <c r="A4" s="107" t="s">
        <v>141</v>
      </c>
    </row>
    <row r="5" spans="1:9" s="43" customFormat="1" ht="66" customHeight="1" x14ac:dyDescent="0.2">
      <c r="A5" s="264" t="s">
        <v>142</v>
      </c>
      <c r="B5" s="264"/>
      <c r="C5" s="264"/>
      <c r="D5" s="264"/>
      <c r="E5" s="264"/>
      <c r="F5" s="264"/>
      <c r="G5" s="264"/>
      <c r="H5" s="264"/>
      <c r="I5" s="264"/>
    </row>
    <row r="6" spans="1:9" s="43" customFormat="1" ht="36" customHeight="1" x14ac:dyDescent="0.2">
      <c r="A6" s="264" t="s">
        <v>170</v>
      </c>
      <c r="B6" s="264"/>
      <c r="C6" s="264"/>
      <c r="D6" s="264"/>
      <c r="E6" s="264"/>
      <c r="F6" s="264"/>
      <c r="G6" s="264"/>
      <c r="H6" s="264"/>
      <c r="I6" s="264"/>
    </row>
    <row r="7" spans="1:9" s="43" customFormat="1" ht="32.25" customHeight="1" x14ac:dyDescent="0.2">
      <c r="A7" s="264" t="s">
        <v>80</v>
      </c>
      <c r="B7" s="264"/>
      <c r="C7" s="264"/>
      <c r="D7" s="264"/>
      <c r="E7" s="264"/>
      <c r="F7" s="264"/>
      <c r="G7" s="264"/>
      <c r="H7" s="264"/>
      <c r="I7" s="264"/>
    </row>
    <row r="8" spans="1:9" s="43" customFormat="1" ht="12.75" x14ac:dyDescent="0.2">
      <c r="A8" s="265" t="s">
        <v>86</v>
      </c>
      <c r="B8" s="265"/>
      <c r="C8" s="265"/>
      <c r="D8" s="265"/>
      <c r="E8" s="265"/>
      <c r="F8" s="265"/>
      <c r="G8" s="265"/>
      <c r="H8" s="265"/>
      <c r="I8" s="265"/>
    </row>
    <row r="9" spans="1:9" s="43" customFormat="1" ht="12.75" x14ac:dyDescent="0.2">
      <c r="A9" s="89"/>
      <c r="B9" s="89"/>
      <c r="C9" s="89"/>
      <c r="D9" s="89"/>
      <c r="E9" s="89"/>
      <c r="F9" s="89"/>
      <c r="G9" s="89"/>
      <c r="H9" s="89"/>
      <c r="I9" s="89"/>
    </row>
    <row r="10" spans="1:9" s="43" customFormat="1" ht="12.75" x14ac:dyDescent="0.2">
      <c r="A10" s="89"/>
      <c r="B10" s="89"/>
      <c r="C10" s="89"/>
      <c r="D10" s="89"/>
      <c r="E10" s="89"/>
      <c r="F10" s="89"/>
      <c r="G10" s="89"/>
      <c r="H10" s="89"/>
      <c r="I10" s="89"/>
    </row>
    <row r="11" spans="1:9" s="43" customFormat="1" ht="13.5" customHeight="1" x14ac:dyDescent="0.2">
      <c r="A11" s="90" t="s">
        <v>91</v>
      </c>
      <c r="B11" s="90"/>
      <c r="D11" s="89"/>
      <c r="F11" s="89"/>
      <c r="G11" s="89"/>
      <c r="H11" s="89"/>
      <c r="I11" s="89"/>
    </row>
    <row r="12" spans="1:9" s="43" customFormat="1" ht="2.25" customHeight="1" x14ac:dyDescent="0.2">
      <c r="A12" s="90"/>
      <c r="B12" s="90"/>
      <c r="D12" s="89"/>
      <c r="F12" s="89"/>
      <c r="G12" s="89"/>
      <c r="H12" s="89"/>
      <c r="I12" s="89"/>
    </row>
    <row r="13" spans="1:9" s="43" customFormat="1" ht="12.75" x14ac:dyDescent="0.2">
      <c r="A13" s="89" t="s">
        <v>87</v>
      </c>
      <c r="B13" s="172">
        <v>44378</v>
      </c>
      <c r="C13" s="89" t="s">
        <v>88</v>
      </c>
      <c r="D13" s="172">
        <v>44742</v>
      </c>
      <c r="E13" s="89"/>
      <c r="F13" s="89"/>
      <c r="G13" s="89"/>
      <c r="H13" s="89"/>
      <c r="I13" s="89"/>
    </row>
    <row r="14" spans="1:9" s="43" customFormat="1" ht="12.75" x14ac:dyDescent="0.2">
      <c r="A14" s="43" t="s">
        <v>112</v>
      </c>
    </row>
    <row r="15" spans="1:9" s="43" customFormat="1" ht="12.75" x14ac:dyDescent="0.2"/>
    <row r="16" spans="1:9" s="43" customFormat="1" ht="15" x14ac:dyDescent="0.25">
      <c r="A16" s="105" t="s">
        <v>139</v>
      </c>
    </row>
    <row r="17" spans="1:13" s="43" customFormat="1" ht="12.75" x14ac:dyDescent="0.2">
      <c r="I17" s="199" t="s">
        <v>15</v>
      </c>
    </row>
    <row r="18" spans="1:13" s="43" customFormat="1" ht="12.75" x14ac:dyDescent="0.2">
      <c r="A18" s="43" t="s">
        <v>81</v>
      </c>
      <c r="I18" s="173">
        <v>328059.09000000003</v>
      </c>
    </row>
    <row r="19" spans="1:13" s="43" customFormat="1" ht="12.75" x14ac:dyDescent="0.2">
      <c r="A19" s="43" t="s">
        <v>82</v>
      </c>
      <c r="I19" s="174">
        <v>-8842.3700000000008</v>
      </c>
    </row>
    <row r="20" spans="1:13" s="43" customFormat="1" ht="12.75" x14ac:dyDescent="0.2">
      <c r="H20" s="64" t="s">
        <v>84</v>
      </c>
      <c r="I20" s="132">
        <f>SUM(I18:I19)</f>
        <v>319216.72000000003</v>
      </c>
    </row>
    <row r="21" spans="1:13" ht="12.75" x14ac:dyDescent="0.2">
      <c r="A21" s="43"/>
      <c r="I21" s="106"/>
    </row>
    <row r="22" spans="1:13" ht="15" x14ac:dyDescent="0.25">
      <c r="A22" s="105" t="s">
        <v>140</v>
      </c>
    </row>
    <row r="23" spans="1:13" s="43" customFormat="1" ht="12.75" x14ac:dyDescent="0.2">
      <c r="I23" s="199" t="s">
        <v>15</v>
      </c>
    </row>
    <row r="24" spans="1:13" s="43" customFormat="1" ht="12.75" x14ac:dyDescent="0.2">
      <c r="A24" s="138" t="s">
        <v>145</v>
      </c>
      <c r="I24" s="173">
        <v>288097.08</v>
      </c>
    </row>
    <row r="25" spans="1:13" s="43" customFormat="1" ht="12.75" x14ac:dyDescent="0.2">
      <c r="I25" s="88"/>
    </row>
    <row r="26" spans="1:13" s="43" customFormat="1" ht="12.75" x14ac:dyDescent="0.2">
      <c r="H26" s="64" t="s">
        <v>83</v>
      </c>
      <c r="I26" s="133">
        <f>SUM(I24:I25)</f>
        <v>288097.08</v>
      </c>
    </row>
    <row r="27" spans="1:13" s="43" customFormat="1" ht="12.75" x14ac:dyDescent="0.2">
      <c r="H27" s="64"/>
      <c r="I27" s="101"/>
    </row>
    <row r="28" spans="1:13" s="43" customFormat="1" ht="12.75" x14ac:dyDescent="0.2">
      <c r="I28" s="88"/>
    </row>
    <row r="29" spans="1:13" s="43" customFormat="1" ht="12.75" x14ac:dyDescent="0.2">
      <c r="H29" s="64" t="s">
        <v>85</v>
      </c>
      <c r="I29" s="134">
        <f>I20-I26</f>
        <v>31119.640000000014</v>
      </c>
    </row>
    <row r="30" spans="1:13" s="43" customFormat="1" ht="39" customHeight="1" x14ac:dyDescent="0.2">
      <c r="A30" s="266" t="s">
        <v>146</v>
      </c>
      <c r="B30" s="266"/>
      <c r="C30" s="266"/>
      <c r="D30" s="266"/>
      <c r="E30" s="266"/>
      <c r="F30" s="266"/>
      <c r="G30" s="266"/>
      <c r="H30" s="266"/>
      <c r="I30" s="173">
        <v>36144.83</v>
      </c>
      <c r="J30" s="104" t="s">
        <v>130</v>
      </c>
      <c r="K30"/>
      <c r="L30"/>
      <c r="M30"/>
    </row>
    <row r="31" spans="1:13" s="43" customFormat="1" ht="12.75" x14ac:dyDescent="0.2">
      <c r="H31" s="65" t="s">
        <v>198</v>
      </c>
      <c r="I31" s="133">
        <f>I29+I30</f>
        <v>67264.470000000016</v>
      </c>
      <c r="J31" s="267">
        <f>IFERROR(I31/$I$26,0)</f>
        <v>0.23347848579374705</v>
      </c>
      <c r="K31" s="45" t="str">
        <f>IF(AND(I31&gt;0,J31&gt;10%),"Surplus must be factored into rate calculation per billing rate policy","Surplus less than 10% of annual operating expenses/(Deficit) can be factored into the rate but is not required")</f>
        <v>Surplus must be factored into rate calculation per billing rate policy</v>
      </c>
    </row>
    <row r="32" spans="1:13" s="43" customFormat="1" ht="12.75" x14ac:dyDescent="0.2">
      <c r="H32" s="64" t="s">
        <v>199</v>
      </c>
      <c r="I32" s="268">
        <f>IF(J31&gt;10%,I26*0.1,0)</f>
        <v>28809.708000000002</v>
      </c>
      <c r="J32" s="269">
        <f>IFERROR(I32/$I$26,0)</f>
        <v>0.1</v>
      </c>
    </row>
    <row r="33" spans="1:11" s="43" customFormat="1" ht="12.75" x14ac:dyDescent="0.2">
      <c r="H33" s="65" t="s">
        <v>200</v>
      </c>
      <c r="I33" s="133">
        <f>I31-I32</f>
        <v>38454.762000000017</v>
      </c>
    </row>
    <row r="34" spans="1:11" s="43" customFormat="1" ht="12.75" x14ac:dyDescent="0.2">
      <c r="H34" s="64"/>
      <c r="I34" s="131"/>
    </row>
    <row r="35" spans="1:11" ht="12.75" x14ac:dyDescent="0.2">
      <c r="H35" s="64" t="s">
        <v>133</v>
      </c>
      <c r="I35" s="175">
        <v>60000</v>
      </c>
      <c r="J35" s="135">
        <f>IFERROR(I35/'.1 Cover'!$J$44,0)</f>
        <v>0.69764555148842655</v>
      </c>
    </row>
    <row r="36" spans="1:11" ht="12.75" x14ac:dyDescent="0.2">
      <c r="H36" s="64"/>
      <c r="I36" s="131"/>
      <c r="J36" s="43"/>
    </row>
    <row r="37" spans="1:11" ht="12.75" x14ac:dyDescent="0.2">
      <c r="H37" s="65" t="s">
        <v>132</v>
      </c>
      <c r="I37" s="195">
        <f>IF(I33&gt;I35,I33-I35,IF(I31&lt;0,I33,I33-I33))</f>
        <v>0</v>
      </c>
      <c r="J37" s="194">
        <f>IFERROR(I37/'.1 Cover'!$J$44,0)</f>
        <v>0</v>
      </c>
      <c r="K37" s="45" t="str">
        <f>IF(AND(I37&gt;0,J37&gt;10%),"Surplus must be factored into rate calculation per billing rate policy","Surplus less than 10% of annual operating expenses/(Deficit) can be factored into the rate but is not required")</f>
        <v>Surplus less than 10% of annual operating expenses/(Deficit) can be factored into the rate but is not required</v>
      </c>
    </row>
    <row r="38" spans="1:11" ht="12.75" x14ac:dyDescent="0.2">
      <c r="H38" s="65"/>
      <c r="I38" s="196"/>
      <c r="J38" s="43"/>
    </row>
    <row r="39" spans="1:11" ht="12.75" x14ac:dyDescent="0.2">
      <c r="H39" s="64" t="s">
        <v>134</v>
      </c>
      <c r="I39" s="205">
        <v>2</v>
      </c>
    </row>
    <row r="40" spans="1:11" ht="12.75" x14ac:dyDescent="0.2">
      <c r="H40" s="64" t="s">
        <v>191</v>
      </c>
      <c r="I40" s="136">
        <f>'.1 Cover'!J46</f>
        <v>815</v>
      </c>
    </row>
    <row r="41" spans="1:11" ht="12.75" x14ac:dyDescent="0.2">
      <c r="H41" s="17" t="s">
        <v>135</v>
      </c>
      <c r="I41" s="198">
        <f>I39*I40</f>
        <v>1630</v>
      </c>
      <c r="J41" s="43"/>
    </row>
    <row r="42" spans="1:11" ht="12.75" x14ac:dyDescent="0.2">
      <c r="H42" s="17"/>
      <c r="I42" s="197"/>
      <c r="J42" s="43"/>
    </row>
    <row r="43" spans="1:11" ht="12.75" x14ac:dyDescent="0.2">
      <c r="H43" s="17" t="s">
        <v>131</v>
      </c>
      <c r="I43" s="184">
        <f>IFERROR(I37/I41,0)</f>
        <v>0</v>
      </c>
      <c r="J43" s="43"/>
    </row>
    <row r="44" spans="1:11" ht="12.75" x14ac:dyDescent="0.2">
      <c r="H44" s="17" t="s">
        <v>201</v>
      </c>
      <c r="I44" s="179">
        <v>1</v>
      </c>
      <c r="J44" s="200" t="s">
        <v>206</v>
      </c>
    </row>
    <row r="45" spans="1:11" ht="13.5" thickBot="1" x14ac:dyDescent="0.25">
      <c r="H45" s="17" t="s">
        <v>203</v>
      </c>
      <c r="I45" s="180">
        <f>ROUND((I43*I44),2)</f>
        <v>0</v>
      </c>
      <c r="J45" s="45" t="s">
        <v>202</v>
      </c>
    </row>
    <row r="46" spans="1:11" ht="12.75" thickTop="1" thickBot="1" x14ac:dyDescent="0.25"/>
    <row r="47" spans="1:11" ht="13.5" thickBot="1" x14ac:dyDescent="0.25">
      <c r="A47" s="176" t="s">
        <v>136</v>
      </c>
      <c r="B47" s="177"/>
      <c r="C47" s="177"/>
      <c r="D47" s="177"/>
      <c r="E47" s="177"/>
      <c r="F47" s="177"/>
      <c r="G47" s="177"/>
      <c r="H47" s="177"/>
      <c r="I47" s="178"/>
    </row>
    <row r="48" spans="1:11" ht="11.25" customHeight="1" x14ac:dyDescent="0.2">
      <c r="A48" s="255" t="s">
        <v>137</v>
      </c>
      <c r="B48" s="256"/>
      <c r="C48" s="256"/>
      <c r="D48" s="256"/>
      <c r="E48" s="256"/>
      <c r="F48" s="256"/>
      <c r="G48" s="256"/>
      <c r="H48" s="256"/>
      <c r="I48" s="257"/>
    </row>
    <row r="49" spans="1:10" x14ac:dyDescent="0.2">
      <c r="A49" s="258"/>
      <c r="B49" s="259"/>
      <c r="C49" s="259"/>
      <c r="D49" s="259"/>
      <c r="E49" s="259"/>
      <c r="F49" s="259"/>
      <c r="G49" s="259"/>
      <c r="H49" s="259"/>
      <c r="I49" s="260"/>
    </row>
    <row r="50" spans="1:10" x14ac:dyDescent="0.2">
      <c r="A50" s="258"/>
      <c r="B50" s="259"/>
      <c r="C50" s="259"/>
      <c r="D50" s="259"/>
      <c r="E50" s="259"/>
      <c r="F50" s="259"/>
      <c r="G50" s="259"/>
      <c r="H50" s="259"/>
      <c r="I50" s="260"/>
    </row>
    <row r="51" spans="1:10" x14ac:dyDescent="0.2">
      <c r="A51" s="258"/>
      <c r="B51" s="259"/>
      <c r="C51" s="259"/>
      <c r="D51" s="259"/>
      <c r="E51" s="259"/>
      <c r="F51" s="259"/>
      <c r="G51" s="259"/>
      <c r="H51" s="259"/>
      <c r="I51" s="260"/>
      <c r="J51" s="200" t="s">
        <v>206</v>
      </c>
    </row>
    <row r="52" spans="1:10" x14ac:dyDescent="0.2">
      <c r="A52" s="258"/>
      <c r="B52" s="259"/>
      <c r="C52" s="259"/>
      <c r="D52" s="259"/>
      <c r="E52" s="259"/>
      <c r="F52" s="259"/>
      <c r="G52" s="259"/>
      <c r="H52" s="259"/>
      <c r="I52" s="260"/>
    </row>
    <row r="53" spans="1:10" x14ac:dyDescent="0.2">
      <c r="A53" s="258"/>
      <c r="B53" s="259"/>
      <c r="C53" s="259"/>
      <c r="D53" s="259"/>
      <c r="E53" s="259"/>
      <c r="F53" s="259"/>
      <c r="G53" s="259"/>
      <c r="H53" s="259"/>
      <c r="I53" s="260"/>
    </row>
    <row r="54" spans="1:10" x14ac:dyDescent="0.2">
      <c r="A54" s="258"/>
      <c r="B54" s="259"/>
      <c r="C54" s="259"/>
      <c r="D54" s="259"/>
      <c r="E54" s="259"/>
      <c r="F54" s="259"/>
      <c r="G54" s="259"/>
      <c r="H54" s="259"/>
      <c r="I54" s="260"/>
    </row>
    <row r="55" spans="1:10" ht="12" thickBot="1" x14ac:dyDescent="0.25">
      <c r="A55" s="261"/>
      <c r="B55" s="262"/>
      <c r="C55" s="262"/>
      <c r="D55" s="262"/>
      <c r="E55" s="262"/>
      <c r="F55" s="262"/>
      <c r="G55" s="262"/>
      <c r="H55" s="262"/>
      <c r="I55" s="263"/>
    </row>
  </sheetData>
  <mergeCells count="7">
    <mergeCell ref="A48:I55"/>
    <mergeCell ref="A3:I3"/>
    <mergeCell ref="A5:I5"/>
    <mergeCell ref="A7:I7"/>
    <mergeCell ref="A8:I8"/>
    <mergeCell ref="A6:I6"/>
    <mergeCell ref="A30:H30"/>
  </mergeCells>
  <pageMargins left="0.7" right="0.7" top="0.75" bottom="0.75" header="0.3" footer="0.3"/>
  <pageSetup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.1 Cover</vt:lpstr>
      <vt:lpstr>.2 Direct &amp; Indirect Personnel</vt:lpstr>
      <vt:lpstr>.3 Direct &amp; Indirect Costs</vt:lpstr>
      <vt:lpstr>.4 Equipment Use Fee (Indirect)</vt:lpstr>
      <vt:lpstr>.5 Lookback Analysis</vt:lpstr>
      <vt:lpstr>'.1 Cover'!Print_Area</vt:lpstr>
      <vt:lpstr>'.2 Direct &amp; Indirect Personnel'!Print_Area</vt:lpstr>
      <vt:lpstr>'.3 Direct &amp; Indirect Costs'!Print_Area</vt:lpstr>
      <vt:lpstr>'.5 Lookback Analysis'!Print_Area</vt:lpstr>
    </vt:vector>
  </TitlesOfParts>
  <Company>Michigan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Controller's Office</dc:creator>
  <cp:lastModifiedBy>Mills, Ian</cp:lastModifiedBy>
  <cp:lastPrinted>2012-02-16T20:11:12Z</cp:lastPrinted>
  <dcterms:created xsi:type="dcterms:W3CDTF">2007-10-18T17:01:47Z</dcterms:created>
  <dcterms:modified xsi:type="dcterms:W3CDTF">2025-02-28T21:49:10Z</dcterms:modified>
</cp:coreProperties>
</file>