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5\"/>
    </mc:Choice>
  </mc:AlternateContent>
  <xr:revisionPtr revIDLastSave="0" documentId="13_ncr:1_{F7EF6456-48A5-418F-9DC1-0529FD49CB29}" xr6:coauthVersionLast="47" xr6:coauthVersionMax="47" xr10:uidLastSave="{00000000-0000-0000-0000-000000000000}"/>
  <bookViews>
    <workbookView xWindow="-120" yWindow="-120" windowWidth="29040" windowHeight="15720" tabRatio="793" activeTab="4" xr2:uid="{00000000-000D-0000-FFFF-FFFF00000000}"/>
  </bookViews>
  <sheets>
    <sheet name=".1 Cover" sheetId="5" r:id="rId1"/>
    <sheet name=".2 Direct &amp; Indirect Personnel" sheetId="1" r:id="rId2"/>
    <sheet name=".3 Direct &amp; Indirect Costs" sheetId="2" r:id="rId3"/>
    <sheet name=".4 Equipment Use Fee (Indirect)" sheetId="3" r:id="rId4"/>
    <sheet name=".5 Lookback Analysis" sheetId="9" r:id="rId5"/>
  </sheets>
  <definedNames>
    <definedName name="_xlnm.Print_Area" localSheetId="0">'.1 Cover'!$A$1:$K$52</definedName>
    <definedName name="_xlnm.Print_Area" localSheetId="1">'.2 Direct &amp; Indirect Personnel'!$A$1:$I$66</definedName>
    <definedName name="_xlnm.Print_Area" localSheetId="2">'.3 Direct &amp; Indirect Costs'!$A$1:$I$51</definedName>
    <definedName name="_xlnm.Print_Area" localSheetId="4">'.5 Lookback Analysis'!$A$1:$I$37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9" l="1"/>
  <c r="I32" i="9"/>
  <c r="J31" i="9"/>
  <c r="E25" i="2"/>
  <c r="E23" i="2"/>
  <c r="E10" i="2"/>
  <c r="A79" i="1" l="1"/>
  <c r="A78" i="1"/>
  <c r="A77" i="1"/>
  <c r="A76" i="1"/>
  <c r="A75" i="1"/>
  <c r="A74" i="1"/>
  <c r="B79" i="1" l="1"/>
  <c r="D79" i="1" s="1"/>
  <c r="E79" i="1" s="1"/>
  <c r="B78" i="1"/>
  <c r="D78" i="1" s="1"/>
  <c r="E78" i="1" s="1"/>
  <c r="B77" i="1"/>
  <c r="D77" i="1" s="1"/>
  <c r="E77" i="1" s="1"/>
  <c r="B76" i="1"/>
  <c r="D76" i="1" s="1"/>
  <c r="E76" i="1" s="1"/>
  <c r="B75" i="1"/>
  <c r="D75" i="1" s="1"/>
  <c r="E75" i="1" s="1"/>
  <c r="B74" i="1"/>
  <c r="D74" i="1" s="1"/>
  <c r="E74" i="1" s="1"/>
  <c r="C13" i="5"/>
  <c r="C14" i="5" s="1"/>
  <c r="H15" i="3"/>
  <c r="I15" i="3" s="1"/>
  <c r="H14" i="3"/>
  <c r="I14" i="3" s="1"/>
  <c r="H13" i="3"/>
  <c r="I13" i="3" s="1"/>
  <c r="H12" i="3"/>
  <c r="I12" i="3" s="1"/>
  <c r="H11" i="3"/>
  <c r="I11" i="3" s="1"/>
  <c r="K11" i="3" s="1"/>
  <c r="F15" i="3"/>
  <c r="F14" i="3"/>
  <c r="F13" i="3"/>
  <c r="F12" i="3"/>
  <c r="F11" i="3"/>
  <c r="I40" i="9"/>
  <c r="I41" i="9" s="1"/>
  <c r="K12" i="3" l="1"/>
  <c r="K13" i="3"/>
  <c r="K14" i="3"/>
  <c r="K15" i="3"/>
  <c r="I26" i="9"/>
  <c r="I20" i="9"/>
  <c r="G36" i="2"/>
  <c r="G37" i="2"/>
  <c r="G38" i="2"/>
  <c r="G39" i="2"/>
  <c r="G40" i="2"/>
  <c r="G35" i="2"/>
  <c r="G48" i="2" s="1"/>
  <c r="K27" i="3"/>
  <c r="K26" i="3"/>
  <c r="K25" i="3"/>
  <c r="G55" i="1"/>
  <c r="H55" i="1" s="1"/>
  <c r="H58" i="1" s="1"/>
  <c r="G47" i="1"/>
  <c r="H47" i="1" s="1"/>
  <c r="G46" i="1"/>
  <c r="H46" i="1" s="1"/>
  <c r="G21" i="1"/>
  <c r="H21" i="1" s="1"/>
  <c r="H24" i="1" s="1"/>
  <c r="G13" i="1"/>
  <c r="H13" i="1" s="1"/>
  <c r="G12" i="1"/>
  <c r="H12" i="1" s="1"/>
  <c r="J31" i="5"/>
  <c r="J38" i="5" l="1"/>
  <c r="K18" i="3"/>
  <c r="K30" i="3"/>
  <c r="H50" i="1"/>
  <c r="H62" i="1" s="1"/>
  <c r="J37" i="5" s="1"/>
  <c r="H16" i="1"/>
  <c r="H28" i="1" s="1"/>
  <c r="J30" i="5" s="1"/>
  <c r="J33" i="5" s="1"/>
  <c r="I29" i="9"/>
  <c r="I31" i="9" s="1"/>
  <c r="K39" i="3" l="1"/>
  <c r="J39" i="5" s="1"/>
  <c r="J41" i="5" s="1"/>
  <c r="J43" i="5" l="1"/>
  <c r="J47" i="5" l="1"/>
  <c r="J35" i="9"/>
  <c r="K31" i="9"/>
  <c r="I33" i="9" l="1"/>
  <c r="I37" i="9" s="1"/>
  <c r="I43" i="9" l="1"/>
  <c r="I45" i="9" l="1"/>
  <c r="J49" i="5" s="1"/>
  <c r="J51" i="5" s="1"/>
  <c r="E24" i="5" s="1"/>
  <c r="J37" i="9"/>
  <c r="K37" i="9" s="1"/>
  <c r="E22" i="5" l="1"/>
  <c r="E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4" authorId="0" shapeId="0" xr:uid="{35057DF0-ED6F-45D8-89A2-B5202BAAEA66}">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73" authorId="0" shapeId="0" xr:uid="{582382CF-6872-4730-BC87-60CAE9D1B8A9}">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Rudy Rendon</author>
  </authors>
  <commentList>
    <comment ref="I19" authorId="0" shapeId="0" xr:uid="{B095EFD9-EF09-4EA6-84C0-FB50402413D4}">
      <text>
        <r>
          <rPr>
            <b/>
            <sz val="9"/>
            <color indexed="81"/>
            <rFont val="Tahoma"/>
            <family val="2"/>
          </rPr>
          <t>Mossner, Christine:</t>
        </r>
        <r>
          <rPr>
            <sz val="9"/>
            <color indexed="81"/>
            <rFont val="Tahoma"/>
            <family val="2"/>
          </rPr>
          <t xml:space="preserve">
Admin Fee Charged 6470</t>
        </r>
      </text>
    </comment>
    <comment ref="I39" authorId="1" shapeId="0" xr:uid="{A9633548-8C67-4AFB-8FC0-4099EC97AC6C}">
      <text>
        <r>
          <rPr>
            <sz val="9"/>
            <color indexed="81"/>
            <rFont val="Tahoma"/>
            <family val="2"/>
          </rPr>
          <t xml:space="preserve">Rate last reviewed in XXXX
</t>
        </r>
      </text>
    </comment>
  </commentList>
</comments>
</file>

<file path=xl/sharedStrings.xml><?xml version="1.0" encoding="utf-8"?>
<sst xmlns="http://schemas.openxmlformats.org/spreadsheetml/2006/main" count="285" uniqueCount="212">
  <si>
    <t>Employee</t>
  </si>
  <si>
    <t>Annual Salary &amp; Fringe</t>
  </si>
  <si>
    <t>Employee Title</t>
  </si>
  <si>
    <t>Description</t>
  </si>
  <si>
    <t>DIRECT PERSONNEL COSTS:</t>
  </si>
  <si>
    <t>Producer/Dir.</t>
  </si>
  <si>
    <t>SALARY EMPLOYEES:</t>
  </si>
  <si>
    <t>HOURLY EMPLOYEES:</t>
  </si>
  <si>
    <t>Hourly Rate</t>
  </si>
  <si>
    <t>TOTAL - SALARY PERSONNEL</t>
  </si>
  <si>
    <t>TOTAL - HOURLY PERSONNEL</t>
  </si>
  <si>
    <t>Employee #1</t>
  </si>
  <si>
    <t>Employee #2</t>
  </si>
  <si>
    <t>Programmer</t>
  </si>
  <si>
    <t>Admin Asst</t>
  </si>
  <si>
    <t>Amount</t>
  </si>
  <si>
    <t>Paper</t>
  </si>
  <si>
    <t>Original Cost</t>
  </si>
  <si>
    <t>Estimated Life</t>
  </si>
  <si>
    <t>Annual Cost</t>
  </si>
  <si>
    <t>PAGE 3</t>
  </si>
  <si>
    <t>PAGE 4</t>
  </si>
  <si>
    <t>Employee #3 (on-call)</t>
  </si>
  <si>
    <t>Employee Name</t>
  </si>
  <si>
    <t>NOTE:  Please list only those employees that will be working on projects/providing services that will be performing the work to be billed for.</t>
  </si>
  <si>
    <t>External</t>
  </si>
  <si>
    <t>Rate:</t>
  </si>
  <si>
    <t>per (unit)</t>
  </si>
  <si>
    <t>SERVICE CENTER BILLING RATE APPROVAL REQUEST</t>
  </si>
  <si>
    <t>Department:</t>
  </si>
  <si>
    <t>Contact Person (name &amp; #):</t>
  </si>
  <si>
    <t>INDIRECT PERSONNEL COSTS:</t>
  </si>
  <si>
    <t>Secretary</t>
  </si>
  <si>
    <t>Anticipated Hours Worked</t>
  </si>
  <si>
    <t>XT123456</t>
  </si>
  <si>
    <t>Department of Cost Accounting</t>
  </si>
  <si>
    <t>BILLING RATE DOCUMENTATION SUMMARY</t>
  </si>
  <si>
    <t>Employee #4</t>
  </si>
  <si>
    <t>Employee #5</t>
  </si>
  <si>
    <t>Employee #6 (on-call)</t>
  </si>
  <si>
    <t>Student</t>
  </si>
  <si>
    <t>Tech Support</t>
  </si>
  <si>
    <t>Printer (solely for testing)</t>
  </si>
  <si>
    <t>Microscope</t>
  </si>
  <si>
    <t>Autoclaves</t>
  </si>
  <si>
    <t>Analysis Software</t>
  </si>
  <si>
    <t>EQUIPMENT OPERATIONAL EXPENSES</t>
  </si>
  <si>
    <t>NOTE:  Please include only those other direct expenses that will be directly attributable to the service.</t>
  </si>
  <si>
    <t>User Groups:</t>
  </si>
  <si>
    <t>DIRECT PERSONNEL (SEE PAGE/TAB 2 FOR DETAILS)</t>
  </si>
  <si>
    <t>EQUIPMENT USE FEE (INDIRECT)</t>
  </si>
  <si>
    <t>Cost Related to This Service</t>
  </si>
  <si>
    <t>Cost per Year Related to this Service</t>
  </si>
  <si>
    <t>Lab Coats and Clean Room Supplies</t>
  </si>
  <si>
    <t xml:space="preserve">Telephone Access Charges </t>
  </si>
  <si>
    <t>Office Wide Shipping Costs (net of test results above)</t>
  </si>
  <si>
    <t>Office printer/scanner</t>
  </si>
  <si>
    <t>Total Equipment Operational Costs</t>
  </si>
  <si>
    <t>NOTE:  Costs that support the whole department, but can't be tracked/charged by the specific service (and therefore must be allocated)</t>
  </si>
  <si>
    <t>Equipment (costing &lt; $5,000 each and not included elsewhere)</t>
  </si>
  <si>
    <t>Annual Amount</t>
  </si>
  <si>
    <t>Allocation Method for % Related to this Service:</t>
  </si>
  <si>
    <t>OTHER DIRECT COSTS:</t>
  </si>
  <si>
    <t>PAGE 2</t>
  </si>
  <si>
    <t>SALARY EMPLOYEES</t>
  </si>
  <si>
    <t>HOURLY EMPLOYEES</t>
  </si>
  <si>
    <t>INDIRECT PERSONNEL (SEE PAGE/TAB 2 FOR DETAILS)</t>
  </si>
  <si>
    <t>TOTAL DIRECT COSTS</t>
  </si>
  <si>
    <t>TOTAL INDIRECT COSTS</t>
  </si>
  <si>
    <t>ANNUAL AMOUNT</t>
  </si>
  <si>
    <t>X</t>
  </si>
  <si>
    <t>Explanation (if higher):</t>
  </si>
  <si>
    <t>PAGE 1</t>
  </si>
  <si>
    <t>INSTRUCTIONS:</t>
  </si>
  <si>
    <t>First Time Request or Update/Renewal of Rates:</t>
  </si>
  <si>
    <t>LOOKBACK ANALYSIS (REQUIRED FOR UPDATED/RENEWED RATES)</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</si>
  <si>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</si>
  <si>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</si>
  <si>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</si>
  <si>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</si>
  <si>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</si>
  <si>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</si>
  <si>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</si>
  <si>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</si>
  <si>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</si>
  <si>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</si>
  <si>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NUMBER OF TESTS ESTIMATED TO BE PERFORMED IN A YEAR</t>
  </si>
  <si>
    <t>SUMMARY OF ANNUAL DIRECT COSTS</t>
  </si>
  <si>
    <t>SUMMARY OF ANNUAL INDIRECT COSTS</t>
  </si>
  <si>
    <t>Time Period Used for Lookback</t>
  </si>
  <si>
    <t>Testing of Lab Samples</t>
  </si>
  <si>
    <t>Renewal</t>
  </si>
  <si>
    <t>Rate Effective Date:</t>
  </si>
  <si>
    <t>***Fringe %</t>
  </si>
  <si>
    <t xml:space="preserve">http://www.ctlr.msu.edu/copayroll/Fringes.aspx </t>
  </si>
  <si>
    <r>
      <t xml:space="preserve">E-mail completed workbook or questions to </t>
    </r>
    <r>
      <rPr>
        <b/>
        <u/>
        <sz val="10"/>
        <color indexed="12"/>
        <rFont val="Calibri"/>
        <family val="2"/>
      </rPr>
      <t>billing.rates@ctlr.msu.edu</t>
    </r>
  </si>
  <si>
    <t>% Related to this Service</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</si>
  <si>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</si>
  <si>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</si>
  <si>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</si>
  <si>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PAY TO THE REVOLVING ACCOUNT.  FOR HOURLY EMPLOYEES, SELECT THE REVOLVING ACCOUNT FOR HOURS SPENT ON THIS SERVICE WHEN PROCESSING PAYROLL.</t>
  </si>
  <si>
    <t>% Effort on This Service/Acct**</t>
  </si>
  <si>
    <t>Annual Pay Per Person *</t>
  </si>
  <si>
    <t>Cost Related to This Service/Acct</t>
  </si>
  <si>
    <t>Annual Labor and Fringe</t>
  </si>
  <si>
    <t>* Annual pay may be an estimate for the upcoming year or the actual pay for the prior year.</t>
  </si>
  <si>
    <t>**  Effort is the percentage of time expected to be spent providing this service or in support of this service.  Remember that these costs need to be recorded on the revolving account for this service.</t>
  </si>
  <si>
    <t xml:space="preserve">*** Fringe rates can be found at </t>
  </si>
  <si>
    <t>or use the actual fringe costs shown on ledgers.</t>
  </si>
  <si>
    <t>Complete the supporting tabs to compile costs of providing this service/testing.  Summarize the totals from other tabs in the  summary below, and fill in the desired rates for each user group.  Text in green needs to be updated (or added to).  ALL COSTS INCLUDED IN THIS ANALYSIS SHOULD BE EXPENSES ON THE REVOLVING ACCOUNT NAMED ABOVE.</t>
  </si>
  <si>
    <t>ALL INFORMATION BELOW SHOULD TIE DIRECTLY TO OPERATING STATEMENTS FOR THE PERIOD USED.</t>
  </si>
  <si>
    <t>or contact Financial Analysis at 355-5029 with questions.</t>
  </si>
  <si>
    <t>Asset Tag #</t>
  </si>
  <si>
    <t>XXXXXXX</t>
  </si>
  <si>
    <t>Purchaser Account #</t>
  </si>
  <si>
    <t>KFS Object &amp; Description</t>
  </si>
  <si>
    <t>6428 - Ink Cartridges (for testing printer)</t>
  </si>
  <si>
    <t>6428 - Toner for Office printer/scanner</t>
  </si>
  <si>
    <t>6235 - Maintenance contracts on Above Equip (per year)</t>
  </si>
  <si>
    <t>6428 - Slides</t>
  </si>
  <si>
    <t>6428 - Litmus Paper</t>
  </si>
  <si>
    <t>6428 - Dye</t>
  </si>
  <si>
    <t>6489 - Contracted Services (expert testers)</t>
  </si>
  <si>
    <t>6490 - Repairs and Maintenance (other than equip)</t>
  </si>
  <si>
    <t>6560 - Rental of lab space for this test only</t>
  </si>
  <si>
    <t>6555 - Shipping costs (for sending Test Results Only)</t>
  </si>
  <si>
    <t>6428 - Equipment (costing &lt; $5,000)</t>
  </si>
  <si>
    <t>John Doe 5-5555</t>
  </si>
  <si>
    <t>% of Annual Operating Expenses</t>
  </si>
  <si>
    <t>PERIOD BETWEEN REQUIRED BIENNIAL RATE REVIEWS</t>
  </si>
  <si>
    <t>CUMULATIVE LOOKBACK REDUCTION (RECOVERY)</t>
  </si>
  <si>
    <t>Departmental Notes/Documentation</t>
  </si>
  <si>
    <t>Example notes include decision on exclusion of deficit from billing rate, decision to factor 100% or 90% of surplus into billing rate, determination of anticipated capital needs, etc.</t>
  </si>
  <si>
    <t>TOTAL PROJECTED COSTS FOR THIS SERVICE</t>
  </si>
  <si>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</si>
  <si>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</si>
  <si>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t>REVENUE - Prior Period (most recent fiscal year - up to 2 fiscal years if have know anomalies)</t>
  </si>
  <si>
    <t>EXPENSES OR COSTS - Prior Period (most recent fiscal year - up to 2 fiscal years if have know anomalies)</t>
  </si>
  <si>
    <r>
      <t>All formula fields throughout this workbook are in</t>
    </r>
    <r>
      <rPr>
        <sz val="14"/>
        <color rgb="FF0070C0"/>
        <rFont val="Calibri"/>
        <family val="2"/>
        <scheme val="minor"/>
      </rPr>
      <t xml:space="preserve"> BLUE FONT.  </t>
    </r>
  </si>
  <si>
    <t>ENDING FUND BALANCE AS OF PRIOR FISCAL YEAR
(KFS Beginning Balance  Line Amount for 3*** object code for Lookback Period)</t>
  </si>
  <si>
    <t>Total Expenses Incurred for Performing this Service in Prior Year</t>
  </si>
  <si>
    <t>Title of Service:</t>
  </si>
  <si>
    <t>Description of Service:</t>
  </si>
  <si>
    <t>Description of the testing of lab samples performed</t>
  </si>
  <si>
    <t>GEN</t>
  </si>
  <si>
    <t>All items highlighted light orange are manually entered by the department.</t>
  </si>
  <si>
    <t>DIRECT PERSONNEL COSTS: Level of Effort and Billable Hours Determination Documentation</t>
  </si>
  <si>
    <r>
      <rPr>
        <b/>
        <u/>
        <sz val="8"/>
        <rFont val="Arial"/>
        <family val="2"/>
      </rPr>
      <t>LOE Example Language:</t>
    </r>
    <r>
      <rPr>
        <sz val="8"/>
        <rFont val="Arial"/>
        <family val="2"/>
      </rPr>
      <t xml:space="preserve"> LOE determined based on manager input and historical data ; LOE obtained from CGA's reporting site ; etc.</t>
    </r>
  </si>
  <si>
    <t>INDIRECT PERSONNEL COSTS: Level of Effort and Billable Hours Determination Documentation</t>
  </si>
  <si>
    <t>Used Life</t>
  </si>
  <si>
    <t>Remaining Life</t>
  </si>
  <si>
    <t>Submission Date:</t>
  </si>
  <si>
    <t>Approval Letter Date:</t>
  </si>
  <si>
    <t>Template: Testing or Per Unit Rates</t>
  </si>
  <si>
    <r>
      <rPr>
        <b/>
        <u/>
        <sz val="8"/>
        <rFont val="Calibri"/>
        <family val="2"/>
        <scheme val="minor"/>
      </rPr>
      <t>Example Language:</t>
    </r>
    <r>
      <rPr>
        <sz val="8"/>
        <rFont val="Calibri"/>
        <family val="2"/>
        <scheme val="minor"/>
      </rPr>
      <t xml:space="preserve"> Prevailing Market Price (could also be to fund other dept. activities or build reserves; make sure it at least covers the automatic charge for external users [26%  for DY; 2% for DS &amp; XT])</t>
    </r>
  </si>
  <si>
    <t>EQUIPMENT DEPRECIATION COST ANALYSIS</t>
  </si>
  <si>
    <t>In Service Date</t>
  </si>
  <si>
    <r>
      <rPr>
        <b/>
        <u/>
        <sz val="8"/>
        <rFont val="Arial"/>
        <family val="2"/>
      </rPr>
      <t>NOTE</t>
    </r>
    <r>
      <rPr>
        <sz val="8"/>
        <rFont val="Arial"/>
        <family val="2"/>
      </rPr>
      <t xml:space="preserve">: Include only the capitalized equipment (costing &gt; or =  $5,000) used in providing goods/services which are charged to the </t>
    </r>
  </si>
  <si>
    <r>
      <t xml:space="preserve">Federal grants and that were </t>
    </r>
    <r>
      <rPr>
        <b/>
        <u/>
        <sz val="8"/>
        <rFont val="Arial"/>
        <family val="2"/>
      </rPr>
      <t>originally purchased with non-Federal and non-General Fund monies.</t>
    </r>
  </si>
  <si>
    <t>Total Equipment Depreciation Cost</t>
  </si>
  <si>
    <t>TOTAL PROJECTED COST PER TEST (Total Projected Cost / # of Tests)</t>
  </si>
  <si>
    <t>TOTAL COST PER TEST (Total Cost / # of Tests)</t>
  </si>
  <si>
    <t>ESTIMATED TESTS DETERMINATION</t>
  </si>
  <si>
    <r>
      <rPr>
        <b/>
        <u/>
        <sz val="8"/>
        <rFont val="Arial"/>
        <family val="2"/>
      </rPr>
      <t>Estimated Tests Example Language:</t>
    </r>
    <r>
      <rPr>
        <sz val="8"/>
        <rFont val="Arial"/>
        <family val="2"/>
      </rPr>
      <t xml:space="preserve"> Number of tests determined based on historical data plus known future demand.</t>
    </r>
  </si>
  <si>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</si>
  <si>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r>
      <rPr>
        <b/>
        <u/>
        <sz val="8"/>
        <rFont val="Arial"/>
        <family val="2"/>
      </rPr>
      <t>Example Language:</t>
    </r>
    <r>
      <rPr>
        <sz val="8"/>
        <rFont val="Arial"/>
        <family val="2"/>
      </rPr>
      <t xml:space="preserve"> Based on estimated time each machine is used for this service compared to total time.  Differs for each machine, and the operational costs are the same as the machine when specifically identifiable.</t>
    </r>
  </si>
  <si>
    <r>
      <rPr>
        <b/>
        <u/>
        <sz val="8"/>
        <rFont val="Arial"/>
        <family val="2"/>
      </rPr>
      <t>Example Language:</t>
    </r>
    <r>
      <rPr>
        <sz val="8"/>
        <rFont val="Arial"/>
        <family val="2"/>
      </rPr>
      <t xml:space="preserve"> Analyzed total revenue for this Service Center of $1,000,000 per year.  Revenue from providing this specific testing has historically been about $250,000/year, so 25% used as allocated to this service. (Could also use study of % effort from all personnel or other reasonable method.</t>
    </r>
  </si>
  <si>
    <t>Office Supplies (paper clips, staples, etc.)</t>
  </si>
  <si>
    <r>
      <rPr>
        <b/>
        <sz val="10"/>
        <rFont val="Calibri"/>
        <family val="2"/>
        <scheme val="minor"/>
      </rPr>
      <t>The department can figure in anticipated capital needs</t>
    </r>
    <r>
      <rPr>
        <sz val="10"/>
        <rFont val="Calibri"/>
        <family val="2"/>
        <scheme val="minor"/>
      </rPr>
      <t xml:space="preserve"> within the next two years when considering inclusion of the cumulative surplus/deficit impact into the billing rates.</t>
    </r>
  </si>
  <si>
    <t>Total % Effort on This Service/Acct**</t>
  </si>
  <si>
    <t>Max % Allowed</t>
  </si>
  <si>
    <t>&gt; Max?</t>
  </si>
  <si>
    <t>Note</t>
  </si>
  <si>
    <t>All items highlighted light blue are manually entered by FA.</t>
  </si>
  <si>
    <t>Test</t>
  </si>
  <si>
    <t>Internal</t>
  </si>
  <si>
    <t>Federal Grant</t>
  </si>
  <si>
    <t>+/- Cumulative Prior Period Deficit or (Surplus) (NA for NEW Rates.  SEE PAGE/TAB 5)</t>
  </si>
  <si>
    <t>DIRECT COSTS (SEE PAGE/TAB 3 FOR DETAILS)</t>
  </si>
  <si>
    <t>EQUIPMENT USE (SEE PAGE/TAB 4 FOR DETAILS)</t>
  </si>
  <si>
    <t>INDIRECT COSTS (SEE PAGE/TAB 3 FOR DETAILS)</t>
  </si>
  <si>
    <t>TOTAL DIRECT PERSONNEL COSTS (to Page/Tab 1)</t>
  </si>
  <si>
    <t>TOTAL INDIRECT PERSONNEL COSTS (to Page/Tab 1)</t>
  </si>
  <si>
    <t>TOTAL ANNUAL EQUIPMENT COSTS (to Page/Tab 1)</t>
  </si>
  <si>
    <t>TOTAL DIRECT COSTS (to Page/Tab 1)</t>
  </si>
  <si>
    <t>TOTAL INDIRECT COSTS (to Page/Tab 1)</t>
  </si>
  <si>
    <t>FOR FA USE ONLY: LEVEL OF EFFORT CHECK</t>
  </si>
  <si>
    <t>INDIRECT COSTS:</t>
  </si>
  <si>
    <t>Page 5</t>
  </si>
  <si>
    <t>DIRECT MATERIALS:</t>
  </si>
  <si>
    <t>Costs charged to the revolving account that are specifically identifiable with relative ease and high degree of accuracy.  The expenses must be recorded on the revolving account and not a general fund or federal grant account.</t>
  </si>
  <si>
    <t>Total Direct Materials</t>
  </si>
  <si>
    <t>Total Other Direct</t>
  </si>
  <si>
    <t>If update/renewal, complete lookback analysis on Page/Tab 5</t>
  </si>
  <si>
    <t>LESS ALLOWABLE CUMULATIVE SURPLUS NOT EXCEEDING 10% OF ANNUAL OPERATING EXPENSES</t>
  </si>
  <si>
    <t>UNADJUSTED CUMULATIVE SURPLUS (DEFICIT) FOR THE SERVICE</t>
  </si>
  <si>
    <t>ADJUSTED CUMULATIVE SURPLUS (DEFICIT) FOR RATE ALLOCATION</t>
  </si>
  <si>
    <t>ANTICIPATED CAPITAL NEEDS WITHIN THE NEXT TWO YEARS</t>
  </si>
  <si>
    <t>ADJUSTED CUMULATIVE SURPLUS (DEFICIT) USED FOR RATE ALLOCATION</t>
  </si>
  <si>
    <t>LOOKBACK PERCENTAGE USED FOR RATE ALLOCATION</t>
  </si>
  <si>
    <t>NUMBER OF BILLABLE UNITS PER PAGE/TAB 1</t>
  </si>
  <si>
    <t>TOTAL BILLABLE UNITS IN TIME BETWEEN RATE RENEWALS</t>
  </si>
  <si>
    <t xml:space="preserve"> PER BILLABLE HOUR (to Page/Tab 1)</t>
  </si>
  <si>
    <t>CUMULATIVE LOOKBACK REDUCTION (RECOVERY) USED FOR RATE</t>
  </si>
  <si>
    <t>Account #:</t>
  </si>
  <si>
    <t>Sub Account #:</t>
  </si>
  <si>
    <t>[1]</t>
  </si>
  <si>
    <t>[2]</t>
  </si>
  <si>
    <t>[3]</t>
  </si>
  <si>
    <t>[4]</t>
  </si>
  <si>
    <t>Allowable costs should include only the current year’s depreciation, not the current year’s purchases.</t>
  </si>
  <si>
    <t>Depreciable lives used for rates cannot be shorter than those used by the University without written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</si>
</sst>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_(&quot;$&quot;* #,##0_);_(&quot;$&quot;* \(#,##0\);_(&quot;$&quot;* &quot;-&quot;??_);_(@_)"/>
    <numFmt numFmtId="168" formatCode="_(* #,##0_);_(* \(#,##0\);_(* &quot;-&quot;??_);_(@_)"/>
  </numFmts>
  <fonts count="41" x14ac:knownFonts="1">
    <font>
      <sz val="8"/>
      <name val="Arial"/>
    </font>
    <font>
      <sz val="8"/>
      <name val="Arial"/>
      <family val="2"/>
    </font>
    <font>
      <b/>
      <sz val="8"/>
      <name val="Arial"/>
      <family val="2"/>
    </font>
    <font>
      <b/>
      <sz val="10"/>
      <name val="Arial"/>
      <family val="2"/>
    </font>
    <font>
      <sz val="8"/>
      <name val="Arial"/>
      <family val="2"/>
    </font>
    <font>
      <sz val="8"/>
      <color indexed="20"/>
      <name val="Arial"/>
      <family val="2"/>
    </font>
    <font>
      <b/>
      <sz val="9"/>
      <color indexed="10"/>
      <name val="Arial"/>
      <family val="2"/>
    </font>
    <font>
      <sz val="9"/>
      <name val="Arial"/>
      <family val="2"/>
    </font>
    <font>
      <i/>
      <sz val="8"/>
      <name val="Arial"/>
      <family val="2"/>
    </font>
    <font>
      <sz val="10"/>
      <name val="Calibri"/>
      <family val="2"/>
    </font>
    <font>
      <b/>
      <sz val="10"/>
      <name val="Calibri"/>
      <family val="2"/>
    </font>
    <font>
      <b/>
      <u/>
      <sz val="10"/>
      <color indexed="12"/>
      <name val="Calibri"/>
      <family val="2"/>
    </font>
    <font>
      <sz val="8"/>
      <name val="Arial"/>
      <family val="2"/>
    </font>
    <font>
      <u/>
      <sz val="8"/>
      <color theme="10"/>
      <name val="Arial"/>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sz val="12"/>
      <name val="Calibri"/>
      <family val="2"/>
      <scheme val="minor"/>
    </font>
    <font>
      <b/>
      <sz val="12"/>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b/>
      <sz val="11"/>
      <name val="Calibri"/>
      <family val="2"/>
      <scheme val="minor"/>
    </font>
    <font>
      <sz val="8"/>
      <color rgb="FFFF0000"/>
      <name val="Arial"/>
      <family val="2"/>
    </font>
    <font>
      <sz val="10"/>
      <color rgb="FF0070C0"/>
      <name val="Calibri"/>
      <family val="2"/>
      <scheme val="minor"/>
    </font>
    <font>
      <b/>
      <sz val="10"/>
      <color rgb="FF0070C0"/>
      <name val="Calibri"/>
      <family val="2"/>
      <scheme val="minor"/>
    </font>
    <font>
      <b/>
      <sz val="8"/>
      <color rgb="FF0070C0"/>
      <name val="Arial"/>
      <family val="2"/>
    </font>
    <font>
      <sz val="8"/>
      <color rgb="FF0070C0"/>
      <name val="Arial"/>
      <family val="2"/>
    </font>
    <font>
      <b/>
      <sz val="12"/>
      <color rgb="FF0070C0"/>
      <name val="Calibri"/>
      <family val="2"/>
      <scheme val="minor"/>
    </font>
    <font>
      <b/>
      <sz val="8"/>
      <color rgb="FF0070C0"/>
      <name val="Calibri"/>
      <family val="2"/>
      <scheme val="minor"/>
    </font>
    <font>
      <sz val="8"/>
      <color rgb="FF0070C0"/>
      <name val="Calibri"/>
      <family val="2"/>
      <scheme val="minor"/>
    </font>
    <font>
      <sz val="14"/>
      <name val="Calibri"/>
      <family val="2"/>
      <scheme val="minor"/>
    </font>
    <font>
      <sz val="14"/>
      <color rgb="FF0070C0"/>
      <name val="Calibri"/>
      <family val="2"/>
      <scheme val="minor"/>
    </font>
    <font>
      <b/>
      <sz val="9"/>
      <color indexed="81"/>
      <name val="Tahoma"/>
      <family val="2"/>
    </font>
    <font>
      <sz val="9"/>
      <color indexed="81"/>
      <name val="Tahoma"/>
      <family val="2"/>
    </font>
    <font>
      <b/>
      <u/>
      <sz val="8"/>
      <name val="Arial"/>
      <family val="2"/>
    </font>
    <font>
      <b/>
      <u/>
      <sz val="8"/>
      <name val="Calibri"/>
      <family val="2"/>
      <scheme val="minor"/>
    </font>
    <font>
      <b/>
      <sz val="8"/>
      <color rgb="FFFF0000"/>
      <name val="Arial"/>
      <family val="2"/>
    </font>
  </fonts>
  <fills count="9">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79998168889431442"/>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6">
    <xf numFmtId="0" fontId="0" fillId="0" borderId="0"/>
    <xf numFmtId="43" fontId="1"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3"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270">
    <xf numFmtId="0" fontId="0" fillId="0" borderId="0" xfId="0"/>
    <xf numFmtId="0" fontId="2"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0" fontId="0" fillId="0" borderId="0" xfId="9" applyNumberFormat="1" applyFont="1" applyAlignment="1">
      <alignment horizontal="center"/>
    </xf>
    <xf numFmtId="0" fontId="3"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164" fontId="0" fillId="0" borderId="1" xfId="0" applyNumberFormat="1" applyBorder="1"/>
    <xf numFmtId="0" fontId="4" fillId="0" borderId="0" xfId="0" applyFont="1"/>
    <xf numFmtId="49" fontId="4" fillId="0" borderId="0" xfId="0" applyNumberFormat="1" applyFont="1" applyAlignment="1">
      <alignment horizontal="center"/>
    </xf>
    <xf numFmtId="164" fontId="4" fillId="0" borderId="0" xfId="0" applyNumberFormat="1" applyFont="1"/>
    <xf numFmtId="0" fontId="4"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0" fontId="5" fillId="0" borderId="0" xfId="0" applyFont="1"/>
    <xf numFmtId="44" fontId="0" fillId="0" borderId="0" xfId="4" applyFont="1"/>
    <xf numFmtId="49" fontId="6" fillId="0" borderId="0" xfId="0" applyNumberFormat="1" applyFont="1" applyAlignment="1">
      <alignment horizontal="left"/>
    </xf>
    <xf numFmtId="0" fontId="6" fillId="0" borderId="0" xfId="0" applyFont="1"/>
    <xf numFmtId="0" fontId="7" fillId="0" borderId="0" xfId="0" applyFont="1"/>
    <xf numFmtId="0" fontId="2" fillId="0" borderId="0" xfId="0" applyFont="1"/>
    <xf numFmtId="166" fontId="0" fillId="0" borderId="0" xfId="0" applyNumberFormat="1"/>
    <xf numFmtId="10" fontId="0" fillId="0" borderId="0" xfId="9" applyNumberFormat="1" applyFont="1" applyBorder="1" applyAlignment="1">
      <alignment horizontal="right"/>
    </xf>
    <xf numFmtId="10" fontId="2" fillId="0" borderId="0" xfId="9" applyNumberFormat="1" applyFont="1" applyBorder="1" applyAlignment="1">
      <alignment horizontal="right"/>
    </xf>
    <xf numFmtId="165" fontId="0" fillId="0" borderId="0" xfId="0" applyNumberFormat="1" applyAlignment="1">
      <alignment horizontal="center"/>
    </xf>
    <xf numFmtId="164" fontId="2" fillId="0" borderId="0" xfId="0" applyNumberFormat="1" applyFont="1"/>
    <xf numFmtId="166" fontId="0" fillId="0" borderId="0" xfId="9" applyNumberFormat="1" applyFont="1" applyBorder="1" applyAlignment="1">
      <alignment horizontal="right"/>
    </xf>
    <xf numFmtId="10" fontId="4" fillId="0" borderId="0" xfId="9" applyNumberFormat="1" applyFont="1" applyBorder="1" applyAlignment="1">
      <alignment horizontal="right"/>
    </xf>
    <xf numFmtId="0" fontId="0" fillId="0" borderId="1" xfId="0" applyBorder="1"/>
    <xf numFmtId="49" fontId="0" fillId="0" borderId="1" xfId="0" applyNumberFormat="1" applyBorder="1" applyAlignment="1">
      <alignment horizontal="center"/>
    </xf>
    <xf numFmtId="10" fontId="4" fillId="0" borderId="1" xfId="9" applyNumberFormat="1" applyFont="1" applyBorder="1" applyAlignment="1">
      <alignment horizontal="right"/>
    </xf>
    <xf numFmtId="166" fontId="0" fillId="0" borderId="1" xfId="9" applyNumberFormat="1" applyFont="1" applyBorder="1" applyAlignment="1">
      <alignment horizontal="right"/>
    </xf>
    <xf numFmtId="166" fontId="2" fillId="0" borderId="0" xfId="0" applyNumberFormat="1" applyFont="1"/>
    <xf numFmtId="41" fontId="0" fillId="0" borderId="0" xfId="0" applyNumberFormat="1"/>
    <xf numFmtId="41" fontId="2" fillId="0" borderId="0" xfId="0" applyNumberFormat="1" applyFont="1" applyAlignment="1">
      <alignment horizontal="center"/>
    </xf>
    <xf numFmtId="41" fontId="0" fillId="0" borderId="1" xfId="0" applyNumberFormat="1" applyBorder="1"/>
    <xf numFmtId="0" fontId="2" fillId="0" borderId="0" xfId="0" applyFont="1" applyAlignment="1">
      <alignment horizontal="center" wrapText="1"/>
    </xf>
    <xf numFmtId="42" fontId="0" fillId="0" borderId="0" xfId="0" applyNumberFormat="1"/>
    <xf numFmtId="41" fontId="2" fillId="0" borderId="0" xfId="0" applyNumberFormat="1" applyFont="1"/>
    <xf numFmtId="0" fontId="14" fillId="0" borderId="0" xfId="0" applyFont="1"/>
    <xf numFmtId="0" fontId="14" fillId="0" borderId="1" xfId="0" applyFont="1" applyBorder="1"/>
    <xf numFmtId="0" fontId="15" fillId="0" borderId="0" xfId="0" applyFont="1"/>
    <xf numFmtId="0" fontId="14" fillId="0" borderId="0" xfId="0" applyFont="1" applyAlignment="1">
      <alignment horizontal="left"/>
    </xf>
    <xf numFmtId="9" fontId="0" fillId="0" borderId="0" xfId="9" applyFont="1" applyAlignment="1">
      <alignment horizontal="center"/>
    </xf>
    <xf numFmtId="0" fontId="16" fillId="0" borderId="0" xfId="0" applyFont="1"/>
    <xf numFmtId="41" fontId="0" fillId="0" borderId="3" xfId="0" applyNumberFormat="1" applyBorder="1"/>
    <xf numFmtId="3" fontId="0" fillId="0" borderId="0" xfId="0" applyNumberFormat="1" applyAlignment="1">
      <alignment horizontal="right"/>
    </xf>
    <xf numFmtId="0" fontId="2" fillId="0" borderId="2" xfId="0" applyFont="1" applyBorder="1" applyAlignment="1">
      <alignment wrapText="1"/>
    </xf>
    <xf numFmtId="167" fontId="0" fillId="0" borderId="0" xfId="4" applyNumberFormat="1" applyFont="1"/>
    <xf numFmtId="44" fontId="16" fillId="0" borderId="0" xfId="4" applyFont="1" applyBorder="1"/>
    <xf numFmtId="0" fontId="16" fillId="0" borderId="0" xfId="0" applyFont="1" applyAlignment="1">
      <alignment horizontal="left" vertical="center" wrapText="1"/>
    </xf>
    <xf numFmtId="0" fontId="2" fillId="0" borderId="6" xfId="0" applyFont="1" applyBorder="1" applyAlignment="1">
      <alignment horizontal="left"/>
    </xf>
    <xf numFmtId="0" fontId="2" fillId="0" borderId="6" xfId="0" applyFont="1" applyBorder="1" applyAlignment="1">
      <alignment horizontal="left" wrapText="1"/>
    </xf>
    <xf numFmtId="49" fontId="2" fillId="0" borderId="6" xfId="0" applyNumberFormat="1"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wrapText="1"/>
    </xf>
    <xf numFmtId="0" fontId="0" fillId="0" borderId="3" xfId="0" applyBorder="1"/>
    <xf numFmtId="41" fontId="2" fillId="0" borderId="6" xfId="0" applyNumberFormat="1" applyFont="1" applyBorder="1" applyAlignment="1">
      <alignment horizontal="center" wrapText="1"/>
    </xf>
    <xf numFmtId="0" fontId="14" fillId="0" borderId="0" xfId="0" applyFont="1" applyAlignment="1">
      <alignment horizontal="right"/>
    </xf>
    <xf numFmtId="0" fontId="15" fillId="0" borderId="0" xfId="0" applyFont="1" applyAlignment="1">
      <alignment horizontal="right"/>
    </xf>
    <xf numFmtId="0" fontId="20" fillId="0" borderId="0" xfId="0" applyFont="1"/>
    <xf numFmtId="41" fontId="20" fillId="0" borderId="0" xfId="0" applyNumberFormat="1" applyFont="1"/>
    <xf numFmtId="0" fontId="21" fillId="0" borderId="1" xfId="0" applyFont="1" applyBorder="1"/>
    <xf numFmtId="41" fontId="21" fillId="0" borderId="0" xfId="0" applyNumberFormat="1" applyFont="1" applyAlignment="1">
      <alignment horizontal="center"/>
    </xf>
    <xf numFmtId="0" fontId="14" fillId="4" borderId="2" xfId="0" applyFont="1" applyFill="1" applyBorder="1"/>
    <xf numFmtId="0" fontId="14" fillId="4" borderId="7" xfId="0" applyFont="1" applyFill="1" applyBorder="1"/>
    <xf numFmtId="41" fontId="21" fillId="0" borderId="1" xfId="0" applyNumberFormat="1" applyFont="1" applyBorder="1" applyAlignment="1">
      <alignment horizontal="center" wrapText="1"/>
    </xf>
    <xf numFmtId="0" fontId="21" fillId="0" borderId="0" xfId="0" applyFont="1" applyAlignment="1">
      <alignment horizontal="right"/>
    </xf>
    <xf numFmtId="0" fontId="20" fillId="4" borderId="2" xfId="0" applyFont="1" applyFill="1" applyBorder="1"/>
    <xf numFmtId="0" fontId="20" fillId="4" borderId="7" xfId="0" applyFont="1" applyFill="1" applyBorder="1"/>
    <xf numFmtId="0" fontId="19" fillId="0" borderId="1" xfId="0" applyFont="1" applyBorder="1"/>
    <xf numFmtId="0" fontId="19" fillId="4" borderId="8" xfId="0" applyFont="1" applyFill="1" applyBorder="1"/>
    <xf numFmtId="0" fontId="22" fillId="0" borderId="0" xfId="0" applyFont="1"/>
    <xf numFmtId="0" fontId="22" fillId="0" borderId="9" xfId="0" applyFont="1" applyBorder="1"/>
    <xf numFmtId="0" fontId="23" fillId="0" borderId="10" xfId="0" applyFont="1" applyBorder="1"/>
    <xf numFmtId="0" fontId="3" fillId="0" borderId="0" xfId="0" applyFont="1"/>
    <xf numFmtId="0" fontId="15" fillId="0" borderId="1" xfId="0" applyFont="1" applyBorder="1"/>
    <xf numFmtId="0" fontId="24" fillId="0" borderId="1" xfId="0" applyFont="1" applyBorder="1"/>
    <xf numFmtId="0" fontId="24" fillId="0" borderId="0" xfId="0" applyFont="1"/>
    <xf numFmtId="0" fontId="17" fillId="0" borderId="0" xfId="0" applyFont="1" applyAlignment="1">
      <alignment horizontal="left"/>
    </xf>
    <xf numFmtId="0" fontId="22" fillId="0" borderId="0" xfId="0" applyFont="1" applyAlignment="1">
      <alignment horizontal="left"/>
    </xf>
    <xf numFmtId="0" fontId="15" fillId="2" borderId="0" xfId="0" applyFont="1" applyFill="1"/>
    <xf numFmtId="44" fontId="14" fillId="0" borderId="0" xfId="4" applyFont="1"/>
    <xf numFmtId="0" fontId="15" fillId="0" borderId="0" xfId="0" applyFont="1" applyAlignment="1">
      <alignment horizontal="left" vertical="top" wrapText="1"/>
    </xf>
    <xf numFmtId="0" fontId="15" fillId="0" borderId="0" xfId="0" applyFont="1" applyAlignment="1">
      <alignment horizontal="left" vertical="top"/>
    </xf>
    <xf numFmtId="10" fontId="0" fillId="0" borderId="0" xfId="9" applyNumberFormat="1" applyFont="1" applyFill="1" applyAlignment="1">
      <alignment horizontal="center"/>
    </xf>
    <xf numFmtId="0" fontId="26" fillId="0" borderId="0" xfId="0" applyFont="1"/>
    <xf numFmtId="49" fontId="26" fillId="0" borderId="0" xfId="0" applyNumberFormat="1" applyFont="1" applyAlignment="1">
      <alignment horizontal="center"/>
    </xf>
    <xf numFmtId="164" fontId="26" fillId="0" borderId="0" xfId="0" applyNumberFormat="1" applyFont="1"/>
    <xf numFmtId="0" fontId="26" fillId="0" borderId="0" xfId="0" applyFont="1" applyAlignment="1">
      <alignment horizontal="center"/>
    </xf>
    <xf numFmtId="0" fontId="26" fillId="0" borderId="0" xfId="0" applyFont="1" applyAlignment="1">
      <alignment horizontal="left" indent="2"/>
    </xf>
    <xf numFmtId="0" fontId="2" fillId="0" borderId="6" xfId="0" applyFont="1" applyBorder="1" applyAlignment="1">
      <alignment horizontal="center"/>
    </xf>
    <xf numFmtId="0" fontId="2" fillId="0" borderId="8" xfId="0" applyFont="1" applyBorder="1" applyAlignment="1">
      <alignment wrapText="1"/>
    </xf>
    <xf numFmtId="0" fontId="3" fillId="4" borderId="8" xfId="0" applyFont="1" applyFill="1" applyBorder="1"/>
    <xf numFmtId="0" fontId="3" fillId="4" borderId="2" xfId="0" applyFont="1" applyFill="1" applyBorder="1"/>
    <xf numFmtId="0" fontId="3" fillId="4" borderId="7" xfId="0" applyFont="1" applyFill="1" applyBorder="1"/>
    <xf numFmtId="0" fontId="3" fillId="0" borderId="11" xfId="0" applyFont="1" applyBorder="1"/>
    <xf numFmtId="0" fontId="13" fillId="0" borderId="0" xfId="7" applyAlignment="1" applyProtection="1"/>
    <xf numFmtId="49" fontId="13" fillId="0" borderId="0" xfId="7" applyNumberFormat="1" applyAlignment="1" applyProtection="1">
      <alignment horizontal="center"/>
    </xf>
    <xf numFmtId="164" fontId="13" fillId="0" borderId="0" xfId="7" applyNumberFormat="1" applyAlignment="1" applyProtection="1"/>
    <xf numFmtId="0" fontId="4" fillId="0" borderId="0" xfId="0" applyFont="1" applyAlignment="1">
      <alignment horizontal="left"/>
    </xf>
    <xf numFmtId="0" fontId="14" fillId="0" borderId="0" xfId="8" applyFont="1"/>
    <xf numFmtId="44" fontId="17" fillId="0" borderId="0" xfId="5" applyFont="1" applyFill="1" applyBorder="1"/>
    <xf numFmtId="0" fontId="19" fillId="0" borderId="0" xfId="8" applyFont="1" applyAlignment="1">
      <alignment horizontal="right"/>
    </xf>
    <xf numFmtId="0" fontId="10" fillId="0" borderId="0" xfId="0" applyFont="1" applyAlignment="1">
      <alignment horizontal="left" vertical="top"/>
    </xf>
    <xf numFmtId="44" fontId="27" fillId="0" borderId="0" xfId="4" applyFont="1"/>
    <xf numFmtId="44" fontId="27" fillId="0" borderId="3" xfId="4" applyFont="1" applyBorder="1"/>
    <xf numFmtId="0" fontId="15" fillId="0" borderId="1" xfId="0" applyFont="1" applyBorder="1" applyAlignment="1">
      <alignment horizontal="center" wrapText="1"/>
    </xf>
    <xf numFmtId="10" fontId="27" fillId="0" borderId="0" xfId="10" applyNumberFormat="1" applyFont="1" applyFill="1"/>
    <xf numFmtId="44" fontId="27" fillId="0" borderId="0" xfId="6" applyFont="1"/>
    <xf numFmtId="168" fontId="27" fillId="0" borderId="0" xfId="3" applyNumberFormat="1" applyFont="1"/>
    <xf numFmtId="167" fontId="29" fillId="3" borderId="5" xfId="4" applyNumberFormat="1" applyFont="1" applyFill="1" applyBorder="1"/>
    <xf numFmtId="44" fontId="30" fillId="0" borderId="0" xfId="0" applyNumberFormat="1" applyFont="1"/>
    <xf numFmtId="42" fontId="30" fillId="0" borderId="0" xfId="0" applyNumberFormat="1" applyFont="1"/>
    <xf numFmtId="42" fontId="29" fillId="0" borderId="3" xfId="0" applyNumberFormat="1" applyFont="1" applyBorder="1"/>
    <xf numFmtId="42" fontId="30" fillId="0" borderId="3" xfId="0" applyNumberFormat="1" applyFont="1" applyBorder="1"/>
    <xf numFmtId="0" fontId="30" fillId="0" borderId="0" xfId="0" applyFont="1"/>
    <xf numFmtId="42" fontId="29" fillId="3" borderId="5" xfId="0" applyNumberFormat="1" applyFont="1" applyFill="1" applyBorder="1"/>
    <xf numFmtId="164" fontId="30" fillId="0" borderId="0" xfId="0" applyNumberFormat="1" applyFont="1"/>
    <xf numFmtId="166" fontId="30" fillId="0" borderId="0" xfId="0" applyNumberFormat="1" applyFont="1"/>
    <xf numFmtId="164" fontId="29" fillId="0" borderId="3" xfId="0" applyNumberFormat="1" applyFont="1" applyBorder="1"/>
    <xf numFmtId="164" fontId="29" fillId="0" borderId="3" xfId="9" applyNumberFormat="1" applyFont="1" applyBorder="1" applyAlignment="1">
      <alignment horizontal="right"/>
    </xf>
    <xf numFmtId="164" fontId="29" fillId="3" borderId="4" xfId="0" applyNumberFormat="1" applyFont="1" applyFill="1" applyBorder="1"/>
    <xf numFmtId="0" fontId="18" fillId="0" borderId="0" xfId="0" applyFont="1"/>
    <xf numFmtId="44" fontId="31" fillId="0" borderId="5" xfId="8" applyNumberFormat="1" applyFont="1" applyBorder="1"/>
    <xf numFmtId="44" fontId="32" fillId="0" borderId="3" xfId="0" applyNumberFormat="1" applyFont="1" applyBorder="1"/>
    <xf numFmtId="0" fontId="27" fillId="0" borderId="0" xfId="0" applyFont="1"/>
    <xf numFmtId="44" fontId="32" fillId="0" borderId="0" xfId="0" applyNumberFormat="1" applyFont="1"/>
    <xf numFmtId="167" fontId="32" fillId="0" borderId="0" xfId="0" applyNumberFormat="1" applyFont="1"/>
    <xf numFmtId="167" fontId="32" fillId="0" borderId="3" xfId="0" applyNumberFormat="1" applyFont="1" applyBorder="1"/>
    <xf numFmtId="167" fontId="33" fillId="0" borderId="0" xfId="0" applyNumberFormat="1" applyFont="1"/>
    <xf numFmtId="167" fontId="29" fillId="0" borderId="3" xfId="0" applyNumberFormat="1" applyFont="1" applyBorder="1"/>
    <xf numFmtId="0" fontId="34" fillId="0" borderId="0" xfId="0" applyFont="1"/>
    <xf numFmtId="0" fontId="25" fillId="0" borderId="0" xfId="0" applyFont="1"/>
    <xf numFmtId="44" fontId="27" fillId="0" borderId="0" xfId="4" applyFont="1" applyFill="1"/>
    <xf numFmtId="44" fontId="20" fillId="0" borderId="0" xfId="4" applyFont="1" applyFill="1"/>
    <xf numFmtId="14" fontId="14" fillId="0" borderId="0" xfId="0" applyNumberFormat="1" applyFont="1"/>
    <xf numFmtId="14" fontId="0" fillId="0" borderId="0" xfId="0" applyNumberFormat="1"/>
    <xf numFmtId="0" fontId="14" fillId="7" borderId="1" xfId="0" applyFont="1" applyFill="1" applyBorder="1" applyAlignment="1">
      <alignment horizontal="left"/>
    </xf>
    <xf numFmtId="0" fontId="17" fillId="0" borderId="0" xfId="0" applyFont="1"/>
    <xf numFmtId="0" fontId="1" fillId="7" borderId="0" xfId="0" applyFont="1" applyFill="1"/>
    <xf numFmtId="9" fontId="1" fillId="7" borderId="0" xfId="9" applyFont="1" applyFill="1" applyAlignment="1">
      <alignment horizontal="center"/>
    </xf>
    <xf numFmtId="164" fontId="1" fillId="7" borderId="0" xfId="0" applyNumberFormat="1" applyFont="1" applyFill="1"/>
    <xf numFmtId="10" fontId="1" fillId="7" borderId="0" xfId="9" applyNumberFormat="1" applyFont="1" applyFill="1" applyBorder="1" applyAlignment="1">
      <alignment horizontal="center"/>
    </xf>
    <xf numFmtId="9" fontId="1" fillId="7" borderId="0" xfId="9" applyFont="1" applyFill="1" applyBorder="1" applyAlignment="1">
      <alignment horizontal="center"/>
    </xf>
    <xf numFmtId="10" fontId="1" fillId="7" borderId="0" xfId="9" applyNumberFormat="1" applyFont="1" applyFill="1" applyAlignment="1">
      <alignment horizontal="center"/>
    </xf>
    <xf numFmtId="44" fontId="1" fillId="7" borderId="0" xfId="4" applyFont="1" applyFill="1"/>
    <xf numFmtId="168" fontId="1" fillId="7" borderId="0" xfId="1" applyNumberFormat="1" applyFont="1" applyFill="1" applyBorder="1" applyAlignment="1">
      <alignment horizontal="center"/>
    </xf>
    <xf numFmtId="166" fontId="1" fillId="7" borderId="0" xfId="0" applyNumberFormat="1" applyFont="1" applyFill="1"/>
    <xf numFmtId="44" fontId="1" fillId="7" borderId="0" xfId="4" applyFont="1" applyFill="1" applyBorder="1"/>
    <xf numFmtId="42" fontId="1" fillId="7" borderId="0" xfId="0" applyNumberFormat="1" applyFont="1" applyFill="1"/>
    <xf numFmtId="0" fontId="1" fillId="7" borderId="0" xfId="0" applyFont="1" applyFill="1" applyAlignment="1">
      <alignment horizontal="center"/>
    </xf>
    <xf numFmtId="9" fontId="1" fillId="7" borderId="0" xfId="9" applyFont="1" applyFill="1"/>
    <xf numFmtId="41" fontId="1" fillId="7" borderId="0" xfId="0" applyNumberFormat="1" applyFont="1" applyFill="1"/>
    <xf numFmtId="9" fontId="1" fillId="7" borderId="3" xfId="9" applyFont="1" applyFill="1" applyBorder="1"/>
    <xf numFmtId="0" fontId="14" fillId="0" borderId="21" xfId="0" applyFont="1" applyBorder="1"/>
    <xf numFmtId="0" fontId="14" fillId="0" borderId="22" xfId="0" applyFont="1" applyBorder="1"/>
    <xf numFmtId="0" fontId="14" fillId="0" borderId="23" xfId="0" applyFont="1" applyBorder="1"/>
    <xf numFmtId="0" fontId="14" fillId="0" borderId="24" xfId="0" applyFont="1" applyBorder="1"/>
    <xf numFmtId="0" fontId="14" fillId="0" borderId="25" xfId="0" applyFont="1" applyBorder="1"/>
    <xf numFmtId="0" fontId="14" fillId="0" borderId="26" xfId="0" applyFont="1" applyBorder="1"/>
    <xf numFmtId="0" fontId="14" fillId="0" borderId="27" xfId="0" applyFont="1" applyBorder="1"/>
    <xf numFmtId="0" fontId="14" fillId="0" borderId="28" xfId="0" applyFont="1" applyBorder="1"/>
    <xf numFmtId="0" fontId="34" fillId="7" borderId="0" xfId="0" applyFont="1" applyFill="1"/>
    <xf numFmtId="0" fontId="14" fillId="7" borderId="0" xfId="0" applyFont="1" applyFill="1"/>
    <xf numFmtId="0" fontId="15" fillId="0" borderId="0" xfId="0" applyFont="1" applyAlignment="1">
      <alignment vertical="center"/>
    </xf>
    <xf numFmtId="0" fontId="34" fillId="8" borderId="0" xfId="0" applyFont="1" applyFill="1"/>
    <xf numFmtId="0" fontId="14" fillId="8" borderId="0" xfId="0" applyFont="1" applyFill="1"/>
    <xf numFmtId="0" fontId="1" fillId="0" borderId="0" xfId="0" applyFont="1"/>
    <xf numFmtId="2" fontId="30" fillId="0" borderId="0" xfId="0" applyNumberFormat="1" applyFont="1" applyAlignment="1">
      <alignment horizontal="center"/>
    </xf>
    <xf numFmtId="14" fontId="1" fillId="7" borderId="0" xfId="0" applyNumberFormat="1" applyFont="1" applyFill="1" applyAlignment="1">
      <alignment horizontal="center"/>
    </xf>
    <xf numFmtId="14" fontId="15" fillId="8" borderId="6" xfId="0" applyNumberFormat="1" applyFont="1" applyFill="1" applyBorder="1" applyAlignment="1">
      <alignment horizontal="left" vertical="top" wrapText="1"/>
    </xf>
    <xf numFmtId="44" fontId="14" fillId="8" borderId="0" xfId="4" applyFont="1" applyFill="1"/>
    <xf numFmtId="44" fontId="14" fillId="8" borderId="1" xfId="4" applyFont="1" applyFill="1" applyBorder="1"/>
    <xf numFmtId="44" fontId="14" fillId="8" borderId="0" xfId="6" applyFont="1" applyFill="1"/>
    <xf numFmtId="168" fontId="14" fillId="8" borderId="0" xfId="3" applyNumberFormat="1" applyFont="1" applyFill="1"/>
    <xf numFmtId="0" fontId="15" fillId="6" borderId="29" xfId="0" applyFont="1" applyFill="1" applyBorder="1"/>
    <xf numFmtId="0" fontId="20" fillId="6" borderId="30" xfId="0" applyFont="1" applyFill="1" applyBorder="1"/>
    <xf numFmtId="0" fontId="20" fillId="6" borderId="31" xfId="0" applyFont="1" applyFill="1" applyBorder="1"/>
    <xf numFmtId="10" fontId="27" fillId="8" borderId="0" xfId="9" applyNumberFormat="1" applyFont="1" applyFill="1" applyBorder="1"/>
    <xf numFmtId="44" fontId="28" fillId="5" borderId="5" xfId="15" applyFont="1" applyFill="1" applyBorder="1"/>
    <xf numFmtId="166" fontId="29" fillId="0" borderId="0" xfId="9" applyNumberFormat="1" applyFont="1" applyBorder="1" applyAlignment="1">
      <alignment horizontal="right"/>
    </xf>
    <xf numFmtId="10" fontId="30" fillId="0" borderId="0" xfId="9" applyNumberFormat="1" applyFont="1" applyFill="1" applyBorder="1" applyAlignment="1">
      <alignment horizontal="center"/>
    </xf>
    <xf numFmtId="0" fontId="30" fillId="0" borderId="0" xfId="0" applyFont="1" applyAlignment="1">
      <alignment horizontal="center"/>
    </xf>
    <xf numFmtId="44" fontId="27" fillId="0" borderId="3" xfId="15" applyFont="1" applyFill="1" applyBorder="1"/>
    <xf numFmtId="0" fontId="30" fillId="0" borderId="0" xfId="0" applyFont="1" applyAlignment="1">
      <alignment horizontal="left"/>
    </xf>
    <xf numFmtId="168" fontId="20" fillId="7" borderId="0" xfId="1" applyNumberFormat="1" applyFont="1" applyFill="1"/>
    <xf numFmtId="10" fontId="1" fillId="8" borderId="0" xfId="9" applyNumberFormat="1" applyFont="1" applyFill="1" applyAlignment="1">
      <alignment horizontal="center"/>
    </xf>
    <xf numFmtId="0" fontId="21" fillId="0" borderId="0" xfId="0" quotePrefix="1" applyFont="1" applyAlignment="1">
      <alignment horizontal="right"/>
    </xf>
    <xf numFmtId="0" fontId="14" fillId="0" borderId="0" xfId="0" applyFont="1" applyAlignment="1">
      <alignment vertical="center"/>
    </xf>
    <xf numFmtId="0" fontId="14" fillId="7" borderId="6" xfId="0" applyFont="1" applyFill="1" applyBorder="1" applyAlignment="1">
      <alignment horizontal="center" vertical="center"/>
    </xf>
    <xf numFmtId="44" fontId="14" fillId="7" borderId="6" xfId="4" applyFont="1" applyFill="1" applyBorder="1" applyAlignment="1">
      <alignment vertical="center"/>
    </xf>
    <xf numFmtId="0" fontId="14" fillId="7" borderId="6" xfId="0" applyFont="1" applyFill="1" applyBorder="1" applyAlignment="1">
      <alignment vertical="center"/>
    </xf>
    <xf numFmtId="44" fontId="27" fillId="0" borderId="6" xfId="4" applyFont="1" applyFill="1" applyBorder="1" applyAlignment="1">
      <alignment vertical="center"/>
    </xf>
    <xf numFmtId="0" fontId="0" fillId="7" borderId="0" xfId="0" applyFill="1"/>
    <xf numFmtId="44" fontId="27" fillId="0" borderId="0" xfId="4" applyFont="1" applyBorder="1"/>
    <xf numFmtId="0" fontId="15" fillId="0" borderId="6" xfId="0" applyFont="1" applyBorder="1" applyAlignment="1">
      <alignment horizontal="center"/>
    </xf>
    <xf numFmtId="44" fontId="28" fillId="0" borderId="0" xfId="4" applyFont="1" applyBorder="1"/>
    <xf numFmtId="10" fontId="28" fillId="0" borderId="0" xfId="10" applyNumberFormat="1" applyFont="1" applyFill="1"/>
    <xf numFmtId="44" fontId="28" fillId="0" borderId="3" xfId="4" applyFont="1" applyBorder="1"/>
    <xf numFmtId="168" fontId="27" fillId="0" borderId="0" xfId="3" applyNumberFormat="1" applyFont="1" applyBorder="1"/>
    <xf numFmtId="168" fontId="28" fillId="0" borderId="3" xfId="3" applyNumberFormat="1" applyFont="1" applyBorder="1"/>
    <xf numFmtId="9" fontId="40" fillId="0" borderId="0" xfId="9" applyFont="1" applyAlignment="1">
      <alignment horizontal="center"/>
    </xf>
    <xf numFmtId="9" fontId="40" fillId="0" borderId="0" xfId="9" applyFont="1" applyAlignment="1">
      <alignment horizontal="center" vertical="top"/>
    </xf>
    <xf numFmtId="9" fontId="40" fillId="0" borderId="0" xfId="9" applyFont="1" applyAlignment="1">
      <alignment horizontal="left" vertical="center"/>
    </xf>
    <xf numFmtId="14" fontId="27" fillId="0" borderId="1" xfId="0" applyNumberFormat="1" applyFont="1" applyBorder="1" applyAlignment="1">
      <alignment horizontal="right"/>
    </xf>
    <xf numFmtId="14" fontId="14" fillId="8" borderId="1" xfId="0" applyNumberFormat="1" applyFont="1" applyFill="1" applyBorder="1" applyAlignment="1">
      <alignment horizontal="right"/>
    </xf>
    <xf numFmtId="0" fontId="3" fillId="4" borderId="29" xfId="0" applyFont="1" applyFill="1" applyBorder="1" applyAlignment="1">
      <alignment horizontal="left"/>
    </xf>
    <xf numFmtId="0" fontId="3" fillId="4" borderId="30" xfId="0" applyFont="1" applyFill="1" applyBorder="1" applyAlignment="1">
      <alignment horizontal="left"/>
    </xf>
    <xf numFmtId="0" fontId="3" fillId="4" borderId="31" xfId="0" applyFont="1" applyFill="1" applyBorder="1" applyAlignment="1">
      <alignment horizontal="left"/>
    </xf>
    <xf numFmtId="0" fontId="1" fillId="7" borderId="29" xfId="0" applyFont="1" applyFill="1" applyBorder="1" applyAlignment="1">
      <alignment horizontal="left" vertical="top" wrapText="1"/>
    </xf>
    <xf numFmtId="0" fontId="1" fillId="7" borderId="30" xfId="0" applyFont="1" applyFill="1" applyBorder="1" applyAlignment="1">
      <alignment horizontal="left" vertical="top" wrapText="1"/>
    </xf>
    <xf numFmtId="0" fontId="1" fillId="7" borderId="31" xfId="0" applyFont="1" applyFill="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14" fillId="7" borderId="1" xfId="0" applyFont="1" applyFill="1" applyBorder="1" applyAlignment="1">
      <alignment horizontal="left" wrapText="1"/>
    </xf>
    <xf numFmtId="0" fontId="14" fillId="7" borderId="1" xfId="0" applyFont="1" applyFill="1" applyBorder="1" applyAlignment="1">
      <alignment horizontal="left"/>
    </xf>
    <xf numFmtId="0" fontId="20" fillId="7" borderId="12" xfId="0" applyFont="1" applyFill="1" applyBorder="1" applyAlignment="1">
      <alignment horizontal="left" vertical="top" wrapText="1"/>
    </xf>
    <xf numFmtId="0" fontId="20" fillId="7" borderId="13" xfId="0" applyFont="1" applyFill="1" applyBorder="1" applyAlignment="1">
      <alignment horizontal="left" vertical="top" wrapText="1"/>
    </xf>
    <xf numFmtId="0" fontId="20" fillId="7" borderId="11"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5" xfId="0" applyFont="1" applyFill="1" applyBorder="1" applyAlignment="1">
      <alignment horizontal="left" vertical="top" wrapText="1"/>
    </xf>
    <xf numFmtId="0" fontId="20" fillId="7" borderId="16" xfId="0" applyFont="1" applyFill="1" applyBorder="1" applyAlignment="1">
      <alignment horizontal="left" vertical="top" wrapText="1"/>
    </xf>
    <xf numFmtId="14" fontId="14" fillId="7" borderId="1" xfId="0" applyNumberFormat="1" applyFont="1" applyFill="1" applyBorder="1" applyAlignment="1">
      <alignment horizontal="left"/>
    </xf>
    <xf numFmtId="0" fontId="3" fillId="4" borderId="8" xfId="0" applyFont="1" applyFill="1" applyBorder="1" applyAlignment="1">
      <alignment horizontal="center"/>
    </xf>
    <xf numFmtId="0" fontId="3" fillId="4" borderId="2" xfId="0" applyFont="1" applyFill="1" applyBorder="1" applyAlignment="1">
      <alignment horizontal="center"/>
    </xf>
    <xf numFmtId="0" fontId="3" fillId="4" borderId="7" xfId="0" applyFont="1" applyFill="1" applyBorder="1" applyAlignment="1">
      <alignment horizontal="center"/>
    </xf>
    <xf numFmtId="0" fontId="2" fillId="0" borderId="8" xfId="0" applyFont="1" applyBorder="1" applyAlignment="1">
      <alignment horizontal="left" wrapText="1"/>
    </xf>
    <xf numFmtId="0" fontId="2" fillId="0" borderId="7" xfId="0" applyFont="1" applyBorder="1" applyAlignment="1">
      <alignment horizontal="left" wrapText="1"/>
    </xf>
    <xf numFmtId="0" fontId="3" fillId="4" borderId="12" xfId="0" applyFont="1" applyFill="1" applyBorder="1" applyAlignment="1">
      <alignment horizontal="center"/>
    </xf>
    <xf numFmtId="0" fontId="3" fillId="4" borderId="3" xfId="0" applyFont="1" applyFill="1" applyBorder="1" applyAlignment="1">
      <alignment horizontal="center"/>
    </xf>
    <xf numFmtId="0" fontId="3" fillId="4" borderId="13" xfId="0" applyFont="1" applyFill="1" applyBorder="1" applyAlignment="1">
      <alignment horizontal="center"/>
    </xf>
    <xf numFmtId="0" fontId="1" fillId="7" borderId="8"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7" xfId="0" applyFont="1" applyFill="1" applyBorder="1" applyAlignment="1">
      <alignment horizontal="left" vertical="top" wrapText="1"/>
    </xf>
    <xf numFmtId="0" fontId="4" fillId="0" borderId="0" xfId="0" applyFont="1" applyAlignment="1">
      <alignment horizontal="left" vertical="top" wrapText="1"/>
    </xf>
    <xf numFmtId="0" fontId="3" fillId="2" borderId="0" xfId="0" applyFont="1" applyFill="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1" fillId="7" borderId="1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2" fillId="0" borderId="6" xfId="0" applyFont="1" applyBorder="1" applyAlignment="1">
      <alignment wrapText="1"/>
    </xf>
    <xf numFmtId="0" fontId="8" fillId="0" borderId="0" xfId="0" applyFont="1" applyAlignment="1">
      <alignment horizontal="left" vertical="top" wrapText="1"/>
    </xf>
    <xf numFmtId="0" fontId="2" fillId="0" borderId="2" xfId="0" applyFont="1" applyBorder="1" applyAlignment="1">
      <alignment horizontal="left" wrapText="1"/>
    </xf>
    <xf numFmtId="0" fontId="20" fillId="8" borderId="9" xfId="0" applyFont="1" applyFill="1" applyBorder="1" applyAlignment="1">
      <alignment horizontal="left" vertical="center" wrapText="1"/>
    </xf>
    <xf numFmtId="0" fontId="20" fillId="8" borderId="17" xfId="0" applyFont="1" applyFill="1" applyBorder="1" applyAlignment="1">
      <alignment horizontal="left" vertical="center" wrapText="1"/>
    </xf>
    <xf numFmtId="0" fontId="20" fillId="8" borderId="18" xfId="0" applyFont="1" applyFill="1" applyBorder="1" applyAlignment="1">
      <alignment horizontal="left" vertical="center" wrapText="1"/>
    </xf>
    <xf numFmtId="0" fontId="20" fillId="8" borderId="32" xfId="0" applyFont="1" applyFill="1" applyBorder="1" applyAlignment="1">
      <alignment horizontal="left" vertical="center" wrapText="1"/>
    </xf>
    <xf numFmtId="0" fontId="20" fillId="8" borderId="0" xfId="0" applyFont="1" applyFill="1" applyAlignment="1">
      <alignment horizontal="left" vertical="center" wrapText="1"/>
    </xf>
    <xf numFmtId="0" fontId="20" fillId="8" borderId="33" xfId="0" applyFont="1" applyFill="1" applyBorder="1" applyAlignment="1">
      <alignment horizontal="left" vertical="center" wrapText="1"/>
    </xf>
    <xf numFmtId="0" fontId="20" fillId="8" borderId="10" xfId="0" applyFont="1" applyFill="1" applyBorder="1" applyAlignment="1">
      <alignment horizontal="left" vertical="center" wrapText="1"/>
    </xf>
    <xf numFmtId="0" fontId="20" fillId="8" borderId="19" xfId="0" applyFont="1" applyFill="1" applyBorder="1" applyAlignment="1">
      <alignment horizontal="left" vertical="center" wrapText="1"/>
    </xf>
    <xf numFmtId="0" fontId="20" fillId="8" borderId="20" xfId="0" applyFont="1" applyFill="1" applyBorder="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horizontal="right" wrapText="1"/>
    </xf>
  </cellXfs>
  <cellStyles count="16">
    <cellStyle name="Comma" xfId="1" builtinId="3"/>
    <cellStyle name="Comma 2" xfId="2" xr:uid="{00000000-0005-0000-0000-000001000000}"/>
    <cellStyle name="Comma 3" xfId="3" xr:uid="{00000000-0005-0000-0000-000002000000}"/>
    <cellStyle name="Currency" xfId="4" builtinId="4"/>
    <cellStyle name="Currency 2" xfId="5" xr:uid="{00000000-0005-0000-0000-000004000000}"/>
    <cellStyle name="Currency 2 2" xfId="15" xr:uid="{F0E1580D-21AF-4920-A637-72D69C61B163}"/>
    <cellStyle name="Currency 3" xfId="6" xr:uid="{00000000-0005-0000-0000-000005000000}"/>
    <cellStyle name="Hyperlink" xfId="7" builtinId="8"/>
    <cellStyle name="Normal" xfId="0" builtinId="0"/>
    <cellStyle name="Normal 2" xfId="8" xr:uid="{00000000-0005-0000-0000-000008000000}"/>
    <cellStyle name="Normal 2 2" xfId="12" xr:uid="{0B4BDDBB-7C5C-4D89-8A26-C42EC40C3549}"/>
    <cellStyle name="Normal 3" xfId="13" xr:uid="{2A80C307-AAFA-42A9-9676-02E48048670E}"/>
    <cellStyle name="Percent" xfId="9" builtinId="5"/>
    <cellStyle name="Percent 2" xfId="10" xr:uid="{00000000-0005-0000-0000-00000A000000}"/>
    <cellStyle name="Percent 3" xfId="11" xr:uid="{00000000-0005-0000-0000-00000B000000}"/>
    <cellStyle name="Percent 3 2" xfId="14" xr:uid="{2C206D57-56AF-4C07-AAB9-FFE28148CE2E}"/>
  </cellStyles>
  <dxfs count="0"/>
  <tableStyles count="0" defaultTableStyle="TableStyleMedium9" defaultPivotStyle="PivotStyleLight16"/>
  <colors>
    <mruColors>
      <color rgb="FF66FF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57"/>
  <sheetViews>
    <sheetView showGridLines="0" zoomScaleNormal="100" workbookViewId="0">
      <selection activeCell="C4" sqref="C4:D4"/>
    </sheetView>
  </sheetViews>
  <sheetFormatPr defaultColWidth="9.33203125" defaultRowHeight="12.75" x14ac:dyDescent="0.2"/>
  <cols>
    <col min="1" max="1" width="17.6640625" style="43" customWidth="1"/>
    <col min="2" max="2" width="4.6640625" style="43" customWidth="1"/>
    <col min="3" max="3" width="15" style="43" customWidth="1"/>
    <col min="4" max="4" width="7.83203125" style="43" customWidth="1"/>
    <col min="5" max="5" width="15.5" style="43" customWidth="1"/>
    <col min="6" max="6" width="9.33203125" style="43"/>
    <col min="7" max="7" width="15.5" style="43" customWidth="1"/>
    <col min="8" max="8" width="0.6640625" style="43" customWidth="1"/>
    <col min="9" max="9" width="21.5" style="43" customWidth="1"/>
    <col min="10" max="10" width="16.1640625" style="43" customWidth="1"/>
    <col min="11" max="11" width="10" style="43" bestFit="1" customWidth="1"/>
    <col min="12" max="22" width="9.33203125" style="43"/>
    <col min="23" max="23" width="12.5" style="43" customWidth="1"/>
    <col min="24" max="16384" width="9.33203125" style="43"/>
  </cols>
  <sheetData>
    <row r="1" spans="1:24" ht="21.75" customHeight="1" thickBot="1" x14ac:dyDescent="0.35">
      <c r="A1" s="81" t="s">
        <v>28</v>
      </c>
      <c r="B1" s="44"/>
      <c r="C1" s="44"/>
      <c r="D1" s="44"/>
      <c r="E1" s="44"/>
      <c r="F1" s="44"/>
      <c r="G1" s="44"/>
      <c r="H1" s="44"/>
      <c r="I1" s="44"/>
      <c r="J1" s="44"/>
      <c r="K1" s="80" t="s">
        <v>72</v>
      </c>
      <c r="M1" s="45" t="s">
        <v>153</v>
      </c>
    </row>
    <row r="2" spans="1:24" ht="13.5" customHeight="1" x14ac:dyDescent="0.3">
      <c r="A2" s="82"/>
      <c r="K2" s="45"/>
      <c r="M2" s="159"/>
      <c r="N2" s="160"/>
      <c r="O2" s="160"/>
      <c r="P2" s="160"/>
      <c r="Q2" s="160"/>
      <c r="R2" s="160"/>
      <c r="S2" s="160"/>
      <c r="T2" s="160"/>
      <c r="U2" s="160"/>
      <c r="V2" s="160"/>
      <c r="W2" s="160"/>
      <c r="X2" s="161"/>
    </row>
    <row r="3" spans="1:24" ht="18.75" x14ac:dyDescent="0.3">
      <c r="A3" s="45"/>
      <c r="M3" s="162"/>
      <c r="N3" s="136" t="s">
        <v>138</v>
      </c>
      <c r="X3" s="163"/>
    </row>
    <row r="4" spans="1:24" ht="21" customHeight="1" x14ac:dyDescent="0.3">
      <c r="A4" s="45" t="s">
        <v>151</v>
      </c>
      <c r="C4" s="229">
        <v>44894</v>
      </c>
      <c r="D4" s="222"/>
      <c r="M4" s="162"/>
      <c r="N4" s="167" t="s">
        <v>145</v>
      </c>
      <c r="O4" s="168"/>
      <c r="P4" s="168"/>
      <c r="Q4" s="168"/>
      <c r="R4" s="168"/>
      <c r="S4" s="168"/>
      <c r="T4" s="168"/>
      <c r="U4" s="168"/>
      <c r="V4" s="168"/>
      <c r="W4" s="168"/>
      <c r="X4" s="163"/>
    </row>
    <row r="5" spans="1:24" ht="24.75" customHeight="1" x14ac:dyDescent="0.3">
      <c r="A5" s="45" t="s">
        <v>204</v>
      </c>
      <c r="C5" s="222" t="s">
        <v>34</v>
      </c>
      <c r="D5" s="222"/>
      <c r="E5" s="143"/>
      <c r="M5" s="162"/>
      <c r="N5" s="170" t="s">
        <v>173</v>
      </c>
      <c r="O5" s="171"/>
      <c r="P5" s="171"/>
      <c r="Q5" s="171"/>
      <c r="R5" s="171"/>
      <c r="S5" s="171"/>
      <c r="T5" s="171"/>
      <c r="U5" s="171"/>
      <c r="V5" s="171"/>
      <c r="W5" s="171"/>
      <c r="X5" s="163"/>
    </row>
    <row r="6" spans="1:24" ht="24.75" customHeight="1" thickBot="1" x14ac:dyDescent="0.25">
      <c r="A6" s="45" t="s">
        <v>205</v>
      </c>
      <c r="C6" s="222" t="s">
        <v>144</v>
      </c>
      <c r="D6" s="222"/>
      <c r="E6" s="143"/>
      <c r="M6" s="164"/>
      <c r="N6" s="165"/>
      <c r="O6" s="165"/>
      <c r="P6" s="165"/>
      <c r="Q6" s="165"/>
      <c r="R6" s="165"/>
      <c r="S6" s="165"/>
      <c r="T6" s="165"/>
      <c r="U6" s="165"/>
      <c r="V6" s="165"/>
      <c r="W6" s="165"/>
      <c r="X6" s="166"/>
    </row>
    <row r="7" spans="1:24" ht="24.75" customHeight="1" x14ac:dyDescent="0.2">
      <c r="A7" s="45" t="s">
        <v>29</v>
      </c>
      <c r="C7" s="222" t="s">
        <v>35</v>
      </c>
      <c r="D7" s="222"/>
      <c r="E7" s="222"/>
      <c r="F7" s="222"/>
      <c r="G7" s="143"/>
    </row>
    <row r="8" spans="1:24" ht="24.75" customHeight="1" x14ac:dyDescent="0.2">
      <c r="A8" s="45" t="s">
        <v>30</v>
      </c>
      <c r="D8" s="222" t="s">
        <v>127</v>
      </c>
      <c r="E8" s="222"/>
      <c r="F8" s="222"/>
      <c r="G8" s="222"/>
    </row>
    <row r="9" spans="1:24" ht="22.5" customHeight="1" x14ac:dyDescent="0.2">
      <c r="A9" s="45" t="s">
        <v>141</v>
      </c>
      <c r="D9" s="222" t="s">
        <v>90</v>
      </c>
      <c r="E9" s="222"/>
      <c r="F9" s="222"/>
      <c r="G9" s="222"/>
      <c r="H9" s="222"/>
      <c r="I9" s="222"/>
    </row>
    <row r="10" spans="1:24" x14ac:dyDescent="0.2">
      <c r="A10" s="45"/>
      <c r="D10" s="83"/>
      <c r="F10" s="83"/>
      <c r="G10" s="84"/>
      <c r="H10" s="83"/>
      <c r="I10" s="83"/>
    </row>
    <row r="11" spans="1:24" ht="26.25" customHeight="1" x14ac:dyDescent="0.2">
      <c r="A11" s="169" t="s">
        <v>142</v>
      </c>
      <c r="D11" s="221" t="s">
        <v>143</v>
      </c>
      <c r="E11" s="221"/>
      <c r="F11" s="221"/>
      <c r="G11" s="221"/>
      <c r="H11" s="221"/>
      <c r="I11" s="221"/>
    </row>
    <row r="12" spans="1:24" x14ac:dyDescent="0.2">
      <c r="A12" s="45"/>
      <c r="D12" s="83"/>
      <c r="F12" s="83"/>
      <c r="G12" s="84"/>
      <c r="H12" s="83"/>
      <c r="I12" s="83"/>
    </row>
    <row r="13" spans="1:24" x14ac:dyDescent="0.2">
      <c r="A13" s="45" t="s">
        <v>152</v>
      </c>
      <c r="C13" s="209">
        <f ca="1">TODAY()</f>
        <v>45716</v>
      </c>
      <c r="D13" s="83"/>
      <c r="F13" s="83"/>
      <c r="G13" s="84"/>
      <c r="H13" s="83"/>
      <c r="I13" s="83"/>
    </row>
    <row r="14" spans="1:24" x14ac:dyDescent="0.2">
      <c r="A14" s="45" t="s">
        <v>92</v>
      </c>
      <c r="C14" s="210">
        <f ca="1">C13</f>
        <v>45716</v>
      </c>
      <c r="D14" s="83"/>
      <c r="F14" s="83"/>
      <c r="G14" s="84"/>
      <c r="H14" s="83"/>
      <c r="I14" s="83"/>
    </row>
    <row r="15" spans="1:24" ht="22.5" customHeight="1" x14ac:dyDescent="0.2">
      <c r="A15" s="45" t="s">
        <v>74</v>
      </c>
      <c r="D15" s="83"/>
      <c r="E15" s="142" t="s">
        <v>91</v>
      </c>
      <c r="F15" s="84" t="s">
        <v>193</v>
      </c>
      <c r="H15" s="83"/>
      <c r="I15" s="83"/>
    </row>
    <row r="16" spans="1:24" ht="15.75" customHeight="1" thickBot="1" x14ac:dyDescent="0.25">
      <c r="A16" s="45"/>
      <c r="D16" s="46"/>
      <c r="E16" s="46"/>
      <c r="F16" s="46"/>
      <c r="G16" s="46"/>
      <c r="H16" s="46"/>
      <c r="I16" s="46"/>
    </row>
    <row r="17" spans="1:13" s="76" customFormat="1" ht="15" customHeight="1" x14ac:dyDescent="0.2">
      <c r="A17" s="77" t="s">
        <v>73</v>
      </c>
      <c r="B17" s="217" t="s">
        <v>109</v>
      </c>
      <c r="C17" s="217"/>
      <c r="D17" s="217"/>
      <c r="E17" s="217"/>
      <c r="F17" s="217"/>
      <c r="G17" s="217"/>
      <c r="H17" s="217"/>
      <c r="I17" s="217"/>
      <c r="J17" s="217"/>
      <c r="K17" s="218"/>
    </row>
    <row r="18" spans="1:13" s="76" customFormat="1" ht="25.5" customHeight="1" thickBot="1" x14ac:dyDescent="0.25">
      <c r="A18" s="78"/>
      <c r="B18" s="219"/>
      <c r="C18" s="219"/>
      <c r="D18" s="219"/>
      <c r="E18" s="219"/>
      <c r="F18" s="219"/>
      <c r="G18" s="219"/>
      <c r="H18" s="219"/>
      <c r="I18" s="219"/>
      <c r="J18" s="219"/>
      <c r="K18" s="220"/>
    </row>
    <row r="19" spans="1:13" x14ac:dyDescent="0.2">
      <c r="A19" s="45"/>
    </row>
    <row r="20" spans="1:13" ht="12.75" customHeight="1" x14ac:dyDescent="0.2">
      <c r="A20" s="45" t="s">
        <v>48</v>
      </c>
      <c r="B20" s="194" t="s">
        <v>70</v>
      </c>
      <c r="C20" s="193" t="s">
        <v>25</v>
      </c>
      <c r="D20" s="169" t="s">
        <v>26</v>
      </c>
      <c r="E20" s="195">
        <f>E24*1.26</f>
        <v>36.54</v>
      </c>
      <c r="F20" s="193" t="s">
        <v>27</v>
      </c>
      <c r="G20" s="196" t="s">
        <v>174</v>
      </c>
      <c r="I20" s="45" t="s">
        <v>71</v>
      </c>
      <c r="J20" s="223" t="s">
        <v>154</v>
      </c>
      <c r="K20" s="224"/>
    </row>
    <row r="21" spans="1:13" ht="6" customHeight="1" x14ac:dyDescent="0.2">
      <c r="A21" s="45"/>
      <c r="B21" s="193"/>
      <c r="C21" s="193"/>
      <c r="D21" s="169"/>
      <c r="E21" s="193"/>
      <c r="F21" s="193"/>
      <c r="G21" s="193"/>
      <c r="J21" s="225"/>
      <c r="K21" s="226"/>
    </row>
    <row r="22" spans="1:13" x14ac:dyDescent="0.2">
      <c r="A22" s="45"/>
      <c r="B22" s="194" t="s">
        <v>70</v>
      </c>
      <c r="C22" s="193" t="s">
        <v>175</v>
      </c>
      <c r="D22" s="169" t="s">
        <v>26</v>
      </c>
      <c r="E22" s="197">
        <f>E24</f>
        <v>29</v>
      </c>
      <c r="F22" s="193" t="s">
        <v>27</v>
      </c>
      <c r="G22" s="196" t="s">
        <v>174</v>
      </c>
      <c r="J22" s="225"/>
      <c r="K22" s="226"/>
    </row>
    <row r="23" spans="1:13" ht="6" customHeight="1" x14ac:dyDescent="0.2">
      <c r="A23" s="45"/>
      <c r="B23" s="193"/>
      <c r="C23" s="193"/>
      <c r="D23" s="169"/>
      <c r="E23" s="193"/>
      <c r="F23" s="193"/>
      <c r="G23" s="193"/>
      <c r="J23" s="225"/>
      <c r="K23" s="226"/>
    </row>
    <row r="24" spans="1:13" x14ac:dyDescent="0.2">
      <c r="A24" s="45"/>
      <c r="B24" s="194" t="s">
        <v>70</v>
      </c>
      <c r="C24" s="193" t="s">
        <v>176</v>
      </c>
      <c r="D24" s="169" t="s">
        <v>26</v>
      </c>
      <c r="E24" s="197">
        <f>ROUNDDOWN(+J51,0)</f>
        <v>29</v>
      </c>
      <c r="F24" s="193" t="s">
        <v>27</v>
      </c>
      <c r="G24" s="196" t="s">
        <v>174</v>
      </c>
      <c r="J24" s="225"/>
      <c r="K24" s="226"/>
    </row>
    <row r="25" spans="1:13" x14ac:dyDescent="0.2">
      <c r="J25" s="225"/>
      <c r="K25" s="226"/>
    </row>
    <row r="26" spans="1:13" x14ac:dyDescent="0.2">
      <c r="C26" s="64"/>
      <c r="D26" s="64"/>
      <c r="E26" s="64"/>
      <c r="F26" s="64"/>
      <c r="G26" s="64"/>
      <c r="H26" s="64"/>
      <c r="I26" s="64"/>
      <c r="J26" s="227"/>
      <c r="K26" s="228"/>
      <c r="L26" s="64"/>
      <c r="M26" s="64"/>
    </row>
    <row r="27" spans="1:13" ht="15.75" x14ac:dyDescent="0.25">
      <c r="A27" s="74" t="s">
        <v>36</v>
      </c>
      <c r="B27" s="44"/>
      <c r="C27" s="66"/>
      <c r="D27" s="66"/>
      <c r="E27" s="66"/>
      <c r="F27" s="66"/>
      <c r="G27" s="66"/>
      <c r="H27" s="66"/>
      <c r="I27" s="66"/>
      <c r="J27" s="66"/>
      <c r="K27" s="66"/>
      <c r="M27" s="64"/>
    </row>
    <row r="28" spans="1:13" x14ac:dyDescent="0.2">
      <c r="B28" s="64"/>
      <c r="C28" s="64"/>
      <c r="D28" s="64"/>
      <c r="E28" s="64"/>
      <c r="F28" s="64"/>
      <c r="G28" s="64"/>
      <c r="H28" s="64"/>
      <c r="I28" s="64"/>
      <c r="J28" s="67"/>
      <c r="K28" s="64"/>
      <c r="M28" s="64"/>
    </row>
    <row r="29" spans="1:13" ht="15.75" x14ac:dyDescent="0.25">
      <c r="B29" s="64"/>
      <c r="C29" s="75" t="s">
        <v>87</v>
      </c>
      <c r="D29" s="68"/>
      <c r="E29" s="69"/>
      <c r="F29" s="72"/>
      <c r="G29" s="73"/>
      <c r="H29" s="64"/>
      <c r="I29" s="64"/>
      <c r="J29" s="70" t="s">
        <v>69</v>
      </c>
      <c r="K29" s="64"/>
      <c r="M29" s="64"/>
    </row>
    <row r="30" spans="1:13" ht="12.95" customHeight="1" x14ac:dyDescent="0.2">
      <c r="B30" s="64"/>
      <c r="C30" s="64" t="s">
        <v>49</v>
      </c>
      <c r="D30" s="64"/>
      <c r="E30" s="64"/>
      <c r="F30" s="64"/>
      <c r="G30" s="64"/>
      <c r="H30" s="64"/>
      <c r="I30" s="64"/>
      <c r="J30" s="134">
        <f>'.2 Direct &amp; Indirect Personnel'!H28</f>
        <v>38719.923519999997</v>
      </c>
      <c r="K30" s="64"/>
      <c r="M30" s="64"/>
    </row>
    <row r="31" spans="1:13" ht="12.95" customHeight="1" x14ac:dyDescent="0.2">
      <c r="B31" s="64"/>
      <c r="C31" s="64" t="s">
        <v>178</v>
      </c>
      <c r="D31" s="64"/>
      <c r="E31" s="64"/>
      <c r="F31" s="64"/>
      <c r="G31" s="64"/>
      <c r="H31" s="64"/>
      <c r="I31" s="64"/>
      <c r="J31" s="134">
        <f>'.3 Direct &amp; Indirect Costs'!E25</f>
        <v>23400</v>
      </c>
      <c r="K31" s="64"/>
      <c r="M31" s="64"/>
    </row>
    <row r="32" spans="1:13" ht="12.95" customHeight="1" x14ac:dyDescent="0.2">
      <c r="B32" s="64"/>
      <c r="C32" s="64"/>
      <c r="D32" s="64"/>
      <c r="E32" s="64"/>
      <c r="F32" s="64"/>
      <c r="G32" s="64"/>
      <c r="H32" s="64"/>
      <c r="I32" s="64"/>
      <c r="J32" s="65"/>
      <c r="K32" s="64"/>
      <c r="M32" s="64"/>
    </row>
    <row r="33" spans="2:13" x14ac:dyDescent="0.2">
      <c r="B33" s="64"/>
      <c r="C33" s="64"/>
      <c r="D33" s="64"/>
      <c r="E33" s="64"/>
      <c r="F33" s="64"/>
      <c r="G33" s="64"/>
      <c r="I33" s="63" t="s">
        <v>67</v>
      </c>
      <c r="J33" s="135">
        <f>SUM(J30:J32)</f>
        <v>62119.923519999997</v>
      </c>
      <c r="K33" s="64"/>
      <c r="M33" s="64"/>
    </row>
    <row r="34" spans="2:13" x14ac:dyDescent="0.2">
      <c r="B34" s="64"/>
      <c r="C34" s="64"/>
      <c r="D34" s="64"/>
      <c r="E34" s="64"/>
      <c r="F34" s="64"/>
      <c r="G34" s="64"/>
      <c r="H34" s="64"/>
      <c r="I34" s="64"/>
      <c r="J34" s="65"/>
      <c r="K34" s="64"/>
      <c r="M34" s="64"/>
    </row>
    <row r="35" spans="2:13" x14ac:dyDescent="0.2">
      <c r="B35" s="64"/>
      <c r="C35" s="64"/>
      <c r="D35" s="64"/>
      <c r="E35" s="64"/>
      <c r="F35" s="64"/>
      <c r="G35" s="64"/>
      <c r="H35" s="71"/>
      <c r="I35" s="64"/>
      <c r="J35" s="65"/>
      <c r="K35" s="64"/>
      <c r="M35" s="64"/>
    </row>
    <row r="36" spans="2:13" ht="15.75" x14ac:dyDescent="0.25">
      <c r="B36" s="64"/>
      <c r="C36" s="75" t="s">
        <v>88</v>
      </c>
      <c r="D36" s="72"/>
      <c r="E36" s="73"/>
      <c r="F36" s="72"/>
      <c r="G36" s="73"/>
      <c r="H36" s="64"/>
      <c r="I36" s="64"/>
      <c r="J36" s="70" t="s">
        <v>69</v>
      </c>
      <c r="K36" s="64"/>
      <c r="M36" s="64"/>
    </row>
    <row r="37" spans="2:13" s="64" customFormat="1" ht="12.95" customHeight="1" x14ac:dyDescent="0.2">
      <c r="C37" s="64" t="s">
        <v>66</v>
      </c>
      <c r="J37" s="134">
        <f>'.2 Direct &amp; Indirect Personnel'!H62</f>
        <v>12347.725</v>
      </c>
    </row>
    <row r="38" spans="2:13" s="64" customFormat="1" ht="12.95" customHeight="1" x14ac:dyDescent="0.2">
      <c r="C38" s="64" t="s">
        <v>180</v>
      </c>
      <c r="J38" s="134">
        <f>'.3 Direct &amp; Indirect Costs'!G48</f>
        <v>4600</v>
      </c>
    </row>
    <row r="39" spans="2:13" s="64" customFormat="1" ht="12.95" customHeight="1" x14ac:dyDescent="0.2">
      <c r="C39" s="64" t="s">
        <v>179</v>
      </c>
      <c r="J39" s="134">
        <f>'.4 Equipment Use Fee (Indirect)'!K39</f>
        <v>6935.9099804305279</v>
      </c>
    </row>
    <row r="40" spans="2:13" ht="12.95" customHeight="1" x14ac:dyDescent="0.2"/>
    <row r="41" spans="2:13" x14ac:dyDescent="0.2">
      <c r="I41" s="63" t="s">
        <v>68</v>
      </c>
      <c r="J41" s="133">
        <f>SUM(J37:J40)</f>
        <v>23883.634980430528</v>
      </c>
    </row>
    <row r="42" spans="2:13" s="64" customFormat="1" ht="11.25" x14ac:dyDescent="0.2"/>
    <row r="43" spans="2:13" s="64" customFormat="1" ht="11.25" x14ac:dyDescent="0.2">
      <c r="I43" s="71" t="s">
        <v>133</v>
      </c>
      <c r="J43" s="132">
        <f>J33+J41</f>
        <v>86003.558500430518</v>
      </c>
    </row>
    <row r="44" spans="2:13" s="64" customFormat="1" ht="11.25" x14ac:dyDescent="0.2"/>
    <row r="45" spans="2:13" s="64" customFormat="1" ht="11.25" x14ac:dyDescent="0.2">
      <c r="I45" s="71" t="s">
        <v>86</v>
      </c>
      <c r="J45" s="190">
        <v>2912</v>
      </c>
      <c r="L45" s="208" t="s">
        <v>206</v>
      </c>
    </row>
    <row r="46" spans="2:13" s="64" customFormat="1" ht="11.25" x14ac:dyDescent="0.2"/>
    <row r="47" spans="2:13" ht="21" customHeight="1" x14ac:dyDescent="0.25">
      <c r="F47" s="127"/>
      <c r="G47" s="127"/>
      <c r="H47" s="127"/>
      <c r="I47" s="63" t="s">
        <v>160</v>
      </c>
      <c r="J47" s="129">
        <f>J43/J45</f>
        <v>29.534189045477515</v>
      </c>
    </row>
    <row r="48" spans="2:13" x14ac:dyDescent="0.2">
      <c r="J48" s="130"/>
    </row>
    <row r="49" spans="1:12" x14ac:dyDescent="0.2">
      <c r="I49" s="192" t="s">
        <v>177</v>
      </c>
      <c r="J49" s="131">
        <f>-'.5 Lookback Analysis'!I45</f>
        <v>0</v>
      </c>
    </row>
    <row r="50" spans="1:12" x14ac:dyDescent="0.2">
      <c r="J50" s="130"/>
    </row>
    <row r="51" spans="1:12" ht="16.5" thickBot="1" x14ac:dyDescent="0.3">
      <c r="I51" s="107" t="s">
        <v>161</v>
      </c>
      <c r="J51" s="128">
        <f>J47+J49</f>
        <v>29.534189045477515</v>
      </c>
    </row>
    <row r="52" spans="1:12" ht="13.5" thickTop="1" x14ac:dyDescent="0.2"/>
    <row r="53" spans="1:12" x14ac:dyDescent="0.2">
      <c r="A53" s="45" t="s">
        <v>95</v>
      </c>
    </row>
    <row r="54" spans="1:12" x14ac:dyDescent="0.2">
      <c r="A54" s="45" t="s">
        <v>111</v>
      </c>
    </row>
    <row r="55" spans="1:12" ht="13.5" thickBot="1" x14ac:dyDescent="0.25"/>
    <row r="56" spans="1:12" ht="13.5" thickBot="1" x14ac:dyDescent="0.25">
      <c r="A56" s="211" t="s">
        <v>162</v>
      </c>
      <c r="B56" s="212"/>
      <c r="C56" s="212"/>
      <c r="D56" s="212"/>
      <c r="E56" s="212"/>
      <c r="F56" s="212"/>
      <c r="G56" s="212"/>
      <c r="H56" s="212"/>
      <c r="I56" s="212"/>
      <c r="J56" s="212"/>
      <c r="K56" s="213"/>
    </row>
    <row r="57" spans="1:12" ht="28.5" customHeight="1" thickBot="1" x14ac:dyDescent="0.25">
      <c r="A57" s="214" t="s">
        <v>163</v>
      </c>
      <c r="B57" s="215"/>
      <c r="C57" s="215"/>
      <c r="D57" s="215"/>
      <c r="E57" s="215"/>
      <c r="F57" s="215"/>
      <c r="G57" s="215"/>
      <c r="H57" s="215"/>
      <c r="I57" s="215"/>
      <c r="J57" s="215"/>
      <c r="K57" s="216"/>
      <c r="L57" s="208" t="s">
        <v>206</v>
      </c>
    </row>
  </sheetData>
  <mergeCells count="11">
    <mergeCell ref="C4:D4"/>
    <mergeCell ref="D8:G8"/>
    <mergeCell ref="C5:D5"/>
    <mergeCell ref="C7:F7"/>
    <mergeCell ref="A56:K56"/>
    <mergeCell ref="A57:K57"/>
    <mergeCell ref="B17:K18"/>
    <mergeCell ref="D11:I11"/>
    <mergeCell ref="C6:D6"/>
    <mergeCell ref="J20:K26"/>
    <mergeCell ref="D9:I9"/>
  </mergeCells>
  <pageMargins left="0.42" right="0.34" top="0.75" bottom="0.75" header="0.3" footer="0.3"/>
  <pageSetup scale="9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79"/>
  <sheetViews>
    <sheetView showGridLines="0" topLeftCell="A35" workbookViewId="0">
      <selection activeCell="O56" sqref="O56"/>
    </sheetView>
  </sheetViews>
  <sheetFormatPr defaultRowHeight="11.25" x14ac:dyDescent="0.2"/>
  <cols>
    <col min="1" max="1" width="23.33203125" bestFit="1" customWidth="1"/>
    <col min="2" max="2" width="15" customWidth="1"/>
    <col min="3" max="3" width="14.83203125" style="4" customWidth="1"/>
    <col min="4" max="4" width="13.5" style="4" customWidth="1"/>
    <col min="5" max="5" width="12.33203125" style="5" customWidth="1"/>
    <col min="6" max="6" width="13.33203125" style="3" customWidth="1"/>
    <col min="7" max="7" width="13.6640625" customWidth="1"/>
    <col min="8" max="8" width="14.6640625" customWidth="1"/>
    <col min="9" max="9" width="7.5" bestFit="1" customWidth="1"/>
  </cols>
  <sheetData>
    <row r="1" spans="1:9" ht="12" x14ac:dyDescent="0.2">
      <c r="A1" s="21"/>
      <c r="I1" s="24" t="s">
        <v>63</v>
      </c>
    </row>
    <row r="2" spans="1:9" ht="12" x14ac:dyDescent="0.2">
      <c r="A2" s="23"/>
    </row>
    <row r="3" spans="1:9" ht="12.75" x14ac:dyDescent="0.2">
      <c r="A3" s="7" t="s">
        <v>4</v>
      </c>
      <c r="B3" s="8"/>
      <c r="C3" s="9"/>
      <c r="D3" s="9"/>
      <c r="E3" s="10"/>
      <c r="F3" s="11"/>
      <c r="G3" s="8"/>
      <c r="H3" s="8"/>
    </row>
    <row r="4" spans="1:9" s="13" customFormat="1" x14ac:dyDescent="0.2">
      <c r="A4" s="13" t="s">
        <v>24</v>
      </c>
      <c r="C4" s="14"/>
      <c r="D4" s="14"/>
      <c r="E4" s="15"/>
      <c r="F4" s="16"/>
    </row>
    <row r="5" spans="1:9" s="13" customFormat="1" x14ac:dyDescent="0.2">
      <c r="A5" s="90" t="s">
        <v>97</v>
      </c>
      <c r="B5" s="90"/>
      <c r="C5" s="91"/>
      <c r="D5" s="92"/>
      <c r="E5" s="93"/>
      <c r="F5" s="90"/>
      <c r="G5" s="90"/>
      <c r="H5" s="90"/>
      <c r="I5" s="90"/>
    </row>
    <row r="6" spans="1:9" s="13" customFormat="1" x14ac:dyDescent="0.2">
      <c r="A6" s="94" t="s">
        <v>98</v>
      </c>
      <c r="B6" s="90"/>
      <c r="C6" s="91"/>
      <c r="D6" s="92"/>
      <c r="E6" s="93"/>
      <c r="F6" s="90"/>
      <c r="G6" s="90"/>
      <c r="H6" s="90"/>
      <c r="I6" s="90"/>
    </row>
    <row r="7" spans="1:9" s="13" customFormat="1" x14ac:dyDescent="0.2">
      <c r="A7" s="94" t="s">
        <v>99</v>
      </c>
      <c r="B7" s="90"/>
      <c r="C7" s="91"/>
      <c r="D7" s="92"/>
      <c r="E7" s="93"/>
      <c r="F7" s="90"/>
      <c r="G7" s="90"/>
      <c r="H7" s="90"/>
      <c r="I7" s="90"/>
    </row>
    <row r="8" spans="1:9" s="13" customFormat="1" x14ac:dyDescent="0.2">
      <c r="A8" s="94" t="s">
        <v>100</v>
      </c>
      <c r="B8" s="90"/>
      <c r="C8" s="91"/>
      <c r="D8" s="92"/>
      <c r="E8" s="93"/>
      <c r="F8" s="90"/>
      <c r="G8" s="90"/>
      <c r="H8" s="90"/>
      <c r="I8" s="90"/>
    </row>
    <row r="9" spans="1:9" s="13" customFormat="1" ht="15.75" customHeight="1" x14ac:dyDescent="0.2">
      <c r="A9" s="79"/>
      <c r="B9"/>
      <c r="C9" s="4"/>
      <c r="D9" s="5"/>
      <c r="E9" s="3"/>
      <c r="F9"/>
      <c r="G9"/>
      <c r="H9"/>
      <c r="I9"/>
    </row>
    <row r="10" spans="1:9" s="13" customFormat="1" ht="12.75" x14ac:dyDescent="0.2">
      <c r="A10" s="230" t="s">
        <v>6</v>
      </c>
      <c r="B10" s="231"/>
      <c r="C10" s="231"/>
      <c r="D10" s="231"/>
      <c r="E10" s="231"/>
      <c r="F10" s="231"/>
      <c r="G10" s="231"/>
      <c r="H10" s="232"/>
    </row>
    <row r="11" spans="1:9" s="1" customFormat="1" ht="40.5" customHeight="1" x14ac:dyDescent="0.2">
      <c r="A11" s="55" t="s">
        <v>23</v>
      </c>
      <c r="B11" s="233" t="s">
        <v>2</v>
      </c>
      <c r="C11" s="234"/>
      <c r="D11" s="57" t="s">
        <v>101</v>
      </c>
      <c r="E11" s="57" t="s">
        <v>102</v>
      </c>
      <c r="F11" s="95" t="s">
        <v>93</v>
      </c>
      <c r="G11" s="58" t="s">
        <v>1</v>
      </c>
      <c r="H11" s="58" t="s">
        <v>103</v>
      </c>
    </row>
    <row r="12" spans="1:9" x14ac:dyDescent="0.2">
      <c r="A12" s="144" t="s">
        <v>11</v>
      </c>
      <c r="B12" s="144" t="s">
        <v>5</v>
      </c>
      <c r="C12" s="144"/>
      <c r="D12" s="145">
        <v>0.1</v>
      </c>
      <c r="E12" s="146">
        <v>60054</v>
      </c>
      <c r="F12" s="147">
        <v>0.38550000000000001</v>
      </c>
      <c r="G12" s="122">
        <f>(E12*(1+F12))</f>
        <v>83204.816999999995</v>
      </c>
      <c r="H12" s="123">
        <f>D12*G12</f>
        <v>8320.4817000000003</v>
      </c>
    </row>
    <row r="13" spans="1:9" x14ac:dyDescent="0.2">
      <c r="A13" s="144" t="s">
        <v>12</v>
      </c>
      <c r="B13" s="144" t="s">
        <v>14</v>
      </c>
      <c r="C13" s="144"/>
      <c r="D13" s="148">
        <v>0.2</v>
      </c>
      <c r="E13" s="146">
        <v>24347</v>
      </c>
      <c r="F13" s="149">
        <v>0.41880000000000001</v>
      </c>
      <c r="G13" s="122">
        <f>(E13*(1+F13))</f>
        <v>34543.5236</v>
      </c>
      <c r="H13" s="123">
        <f>D13*G13</f>
        <v>6908.7047200000006</v>
      </c>
    </row>
    <row r="14" spans="1:9" x14ac:dyDescent="0.2">
      <c r="A14" s="144"/>
      <c r="B14" s="144"/>
      <c r="C14" s="144"/>
      <c r="D14" s="148"/>
      <c r="E14" s="146"/>
      <c r="F14" s="149"/>
      <c r="G14" s="122"/>
      <c r="H14" s="123"/>
    </row>
    <row r="15" spans="1:9" x14ac:dyDescent="0.2">
      <c r="C15"/>
      <c r="D15" s="207" t="s">
        <v>206</v>
      </c>
      <c r="F15" s="89"/>
      <c r="G15" s="5"/>
    </row>
    <row r="16" spans="1:9" x14ac:dyDescent="0.2">
      <c r="C16" s="28"/>
      <c r="D16" s="28"/>
      <c r="F16"/>
      <c r="G16" s="27" t="s">
        <v>9</v>
      </c>
      <c r="H16" s="124">
        <f>SUM(H12:H15)</f>
        <v>15229.186420000002</v>
      </c>
    </row>
    <row r="17" spans="1:9" x14ac:dyDescent="0.2">
      <c r="C17" s="28"/>
      <c r="D17" s="28"/>
      <c r="F17" s="27"/>
      <c r="G17" s="29"/>
      <c r="H17" s="24"/>
    </row>
    <row r="18" spans="1:9" ht="15.75" customHeight="1" x14ac:dyDescent="0.2">
      <c r="C18" s="28"/>
      <c r="D18" s="28"/>
      <c r="F18" s="27"/>
      <c r="G18" s="29"/>
      <c r="H18" s="24"/>
    </row>
    <row r="19" spans="1:9" ht="12.75" x14ac:dyDescent="0.2">
      <c r="A19" s="230" t="s">
        <v>7</v>
      </c>
      <c r="B19" s="231"/>
      <c r="C19" s="231"/>
      <c r="D19" s="231"/>
      <c r="E19" s="231"/>
      <c r="F19" s="231"/>
      <c r="G19" s="231"/>
      <c r="H19" s="232"/>
    </row>
    <row r="20" spans="1:9" ht="40.5" customHeight="1" x14ac:dyDescent="0.2">
      <c r="A20" s="55" t="s">
        <v>0</v>
      </c>
      <c r="B20" s="56" t="s">
        <v>2</v>
      </c>
      <c r="C20" s="57" t="s">
        <v>33</v>
      </c>
      <c r="D20" s="57" t="s">
        <v>101</v>
      </c>
      <c r="E20" s="57" t="s">
        <v>102</v>
      </c>
      <c r="F20" s="95" t="s">
        <v>93</v>
      </c>
      <c r="G20" s="58" t="s">
        <v>1</v>
      </c>
      <c r="H20" s="58" t="s">
        <v>51</v>
      </c>
    </row>
    <row r="21" spans="1:9" x14ac:dyDescent="0.2">
      <c r="A21" s="144" t="s">
        <v>22</v>
      </c>
      <c r="B21" s="150" t="s">
        <v>13</v>
      </c>
      <c r="C21" s="151">
        <v>1080</v>
      </c>
      <c r="D21" s="148">
        <v>0.9</v>
      </c>
      <c r="E21" s="152">
        <v>22.45</v>
      </c>
      <c r="F21" s="147">
        <v>7.6499999999999999E-2</v>
      </c>
      <c r="G21" s="122">
        <f>C21*(E21*(1+F21))</f>
        <v>26100.819</v>
      </c>
      <c r="H21" s="123">
        <f>G21*D21</f>
        <v>23490.737099999998</v>
      </c>
    </row>
    <row r="22" spans="1:9" x14ac:dyDescent="0.2">
      <c r="A22" s="144"/>
      <c r="B22" s="150"/>
      <c r="C22" s="151"/>
      <c r="D22" s="148"/>
      <c r="E22" s="152"/>
      <c r="F22" s="147"/>
      <c r="G22" s="122"/>
      <c r="H22" s="123"/>
    </row>
    <row r="23" spans="1:9" x14ac:dyDescent="0.2">
      <c r="C23" s="207" t="s">
        <v>207</v>
      </c>
      <c r="D23" s="207" t="s">
        <v>206</v>
      </c>
      <c r="F23" s="31"/>
      <c r="G23" s="50"/>
    </row>
    <row r="24" spans="1:9" x14ac:dyDescent="0.2">
      <c r="F24"/>
      <c r="G24" s="27" t="s">
        <v>10</v>
      </c>
      <c r="H24" s="125">
        <f>SUM(H21:H23)</f>
        <v>23490.737099999998</v>
      </c>
    </row>
    <row r="25" spans="1:9" x14ac:dyDescent="0.2">
      <c r="F25" s="31"/>
      <c r="G25" s="30"/>
    </row>
    <row r="26" spans="1:9" x14ac:dyDescent="0.2">
      <c r="A26" s="32"/>
      <c r="B26" s="32"/>
      <c r="C26" s="33"/>
      <c r="D26" s="33"/>
      <c r="E26" s="12"/>
      <c r="F26" s="34"/>
      <c r="G26" s="35"/>
      <c r="H26" s="32"/>
    </row>
    <row r="27" spans="1:9" x14ac:dyDescent="0.2">
      <c r="F27" s="31"/>
      <c r="G27" s="30"/>
    </row>
    <row r="28" spans="1:9" ht="17.25" customHeight="1" thickBot="1" x14ac:dyDescent="0.25">
      <c r="F28"/>
      <c r="G28" s="27" t="s">
        <v>181</v>
      </c>
      <c r="H28" s="126">
        <f>H24+H16</f>
        <v>38719.923519999997</v>
      </c>
    </row>
    <row r="29" spans="1:9" ht="12" thickTop="1" x14ac:dyDescent="0.2">
      <c r="F29" s="26"/>
      <c r="G29" s="25"/>
    </row>
    <row r="30" spans="1:9" ht="12.75" x14ac:dyDescent="0.2">
      <c r="A30" s="235" t="s">
        <v>146</v>
      </c>
      <c r="B30" s="236"/>
      <c r="C30" s="236"/>
      <c r="D30" s="236"/>
      <c r="E30" s="236"/>
      <c r="F30" s="236"/>
      <c r="G30" s="236"/>
      <c r="H30" s="237"/>
    </row>
    <row r="31" spans="1:9" x14ac:dyDescent="0.2">
      <c r="A31" s="238" t="s">
        <v>147</v>
      </c>
      <c r="B31" s="239"/>
      <c r="C31" s="239"/>
      <c r="D31" s="239"/>
      <c r="E31" s="239"/>
      <c r="F31" s="239"/>
      <c r="G31" s="239"/>
      <c r="H31" s="240"/>
      <c r="I31" s="208" t="s">
        <v>206</v>
      </c>
    </row>
    <row r="32" spans="1:9" ht="40.5" customHeight="1" x14ac:dyDescent="0.2">
      <c r="A32" s="238" t="s">
        <v>164</v>
      </c>
      <c r="B32" s="239"/>
      <c r="C32" s="239"/>
      <c r="D32" s="239"/>
      <c r="E32" s="239"/>
      <c r="F32" s="239"/>
      <c r="G32" s="239"/>
      <c r="H32" s="240"/>
      <c r="I32" s="208" t="s">
        <v>207</v>
      </c>
    </row>
    <row r="33" spans="1:9" x14ac:dyDescent="0.2">
      <c r="F33" s="26"/>
      <c r="G33" s="5"/>
    </row>
    <row r="34" spans="1:9" x14ac:dyDescent="0.2">
      <c r="F34" s="27"/>
      <c r="G34" s="36"/>
    </row>
    <row r="35" spans="1:9" x14ac:dyDescent="0.2">
      <c r="A35" s="19"/>
      <c r="F35" s="6"/>
      <c r="G35" s="5"/>
    </row>
    <row r="36" spans="1:9" x14ac:dyDescent="0.2">
      <c r="F36" s="26"/>
      <c r="G36" s="25"/>
    </row>
    <row r="37" spans="1:9" ht="12.75" x14ac:dyDescent="0.2">
      <c r="A37" s="7" t="s">
        <v>31</v>
      </c>
      <c r="B37" s="8"/>
      <c r="C37" s="9"/>
      <c r="D37" s="9"/>
      <c r="E37" s="10"/>
      <c r="F37" s="11"/>
      <c r="G37" s="8"/>
      <c r="H37" s="8"/>
    </row>
    <row r="38" spans="1:9" s="13" customFormat="1" x14ac:dyDescent="0.2">
      <c r="A38" s="13" t="s">
        <v>24</v>
      </c>
      <c r="C38" s="14"/>
      <c r="D38" s="14"/>
      <c r="E38" s="15"/>
      <c r="F38" s="16"/>
    </row>
    <row r="39" spans="1:9" s="13" customFormat="1" x14ac:dyDescent="0.2">
      <c r="A39" s="90" t="s">
        <v>97</v>
      </c>
      <c r="B39" s="90"/>
      <c r="C39" s="91"/>
      <c r="D39" s="92"/>
      <c r="E39" s="93"/>
      <c r="F39" s="90"/>
      <c r="G39" s="90"/>
      <c r="H39" s="90"/>
      <c r="I39" s="90"/>
    </row>
    <row r="40" spans="1:9" s="13" customFormat="1" x14ac:dyDescent="0.2">
      <c r="A40" s="94" t="s">
        <v>98</v>
      </c>
      <c r="B40" s="90"/>
      <c r="C40" s="91"/>
      <c r="D40" s="92"/>
      <c r="E40" s="93"/>
      <c r="F40" s="90"/>
      <c r="G40" s="90"/>
      <c r="H40" s="90"/>
      <c r="I40" s="90"/>
    </row>
    <row r="41" spans="1:9" s="13" customFormat="1" x14ac:dyDescent="0.2">
      <c r="A41" s="94" t="s">
        <v>99</v>
      </c>
      <c r="B41" s="90"/>
      <c r="C41" s="91"/>
      <c r="D41" s="92"/>
      <c r="E41" s="93"/>
      <c r="F41" s="90"/>
      <c r="G41" s="90"/>
      <c r="H41" s="90"/>
      <c r="I41" s="90"/>
    </row>
    <row r="42" spans="1:9" s="13" customFormat="1" x14ac:dyDescent="0.2">
      <c r="A42" s="94" t="s">
        <v>100</v>
      </c>
      <c r="B42" s="90"/>
      <c r="C42" s="91"/>
      <c r="D42" s="92"/>
      <c r="E42" s="93"/>
      <c r="F42" s="90"/>
      <c r="G42" s="90"/>
      <c r="H42" s="90"/>
      <c r="I42" s="90"/>
    </row>
    <row r="43" spans="1:9" s="13" customFormat="1" ht="15.75" customHeight="1" x14ac:dyDescent="0.2">
      <c r="C43" s="14"/>
      <c r="D43" s="14"/>
      <c r="E43" s="15"/>
      <c r="F43" s="16"/>
    </row>
    <row r="44" spans="1:9" s="13" customFormat="1" ht="12.75" x14ac:dyDescent="0.2">
      <c r="A44" s="230" t="s">
        <v>64</v>
      </c>
      <c r="B44" s="231"/>
      <c r="C44" s="231"/>
      <c r="D44" s="231"/>
      <c r="E44" s="231"/>
      <c r="F44" s="231"/>
      <c r="G44" s="231"/>
      <c r="H44" s="231"/>
      <c r="I44" s="100"/>
    </row>
    <row r="45" spans="1:9" s="1" customFormat="1" ht="45" x14ac:dyDescent="0.2">
      <c r="A45" s="55" t="s">
        <v>23</v>
      </c>
      <c r="B45" s="96" t="s">
        <v>2</v>
      </c>
      <c r="C45" s="51"/>
      <c r="D45" s="57" t="s">
        <v>101</v>
      </c>
      <c r="E45" s="57" t="s">
        <v>102</v>
      </c>
      <c r="F45" s="95" t="s">
        <v>93</v>
      </c>
      <c r="G45" s="58" t="s">
        <v>1</v>
      </c>
      <c r="H45" s="58" t="s">
        <v>51</v>
      </c>
    </row>
    <row r="46" spans="1:9" ht="15.75" customHeight="1" x14ac:dyDescent="0.2">
      <c r="A46" s="144" t="s">
        <v>37</v>
      </c>
      <c r="B46" s="144" t="s">
        <v>32</v>
      </c>
      <c r="C46" s="145"/>
      <c r="D46" s="145">
        <v>0.1</v>
      </c>
      <c r="E46" s="146">
        <v>45000</v>
      </c>
      <c r="F46" s="147">
        <v>0.41880000000000001</v>
      </c>
      <c r="G46" s="122">
        <f>(E46*(1+F46))</f>
        <v>63846</v>
      </c>
      <c r="H46" s="123">
        <f>D46*G46</f>
        <v>6384.6</v>
      </c>
    </row>
    <row r="47" spans="1:9" x14ac:dyDescent="0.2">
      <c r="A47" s="144" t="s">
        <v>38</v>
      </c>
      <c r="B47" s="144" t="s">
        <v>41</v>
      </c>
      <c r="C47" s="148"/>
      <c r="D47" s="148">
        <v>0.05</v>
      </c>
      <c r="E47" s="146">
        <v>55000</v>
      </c>
      <c r="F47" s="149">
        <v>0.38550000000000001</v>
      </c>
      <c r="G47" s="122">
        <f>(E47*(1+F47))</f>
        <v>76202.5</v>
      </c>
      <c r="H47" s="123">
        <f>D47*G47</f>
        <v>3810.125</v>
      </c>
    </row>
    <row r="48" spans="1:9" x14ac:dyDescent="0.2">
      <c r="A48" s="144"/>
      <c r="B48" s="144"/>
      <c r="C48" s="148"/>
      <c r="D48" s="148"/>
      <c r="E48" s="146"/>
      <c r="F48" s="149"/>
      <c r="G48" s="122"/>
      <c r="H48" s="123"/>
    </row>
    <row r="49" spans="1:8" x14ac:dyDescent="0.2">
      <c r="C49" s="47"/>
      <c r="D49" s="207" t="s">
        <v>208</v>
      </c>
      <c r="F49" s="6"/>
      <c r="G49" s="5"/>
    </row>
    <row r="50" spans="1:8" x14ac:dyDescent="0.2">
      <c r="C50" s="28"/>
      <c r="D50" s="28"/>
      <c r="F50"/>
      <c r="G50" s="27" t="s">
        <v>9</v>
      </c>
      <c r="H50" s="124">
        <f>SUM(H46:H49)</f>
        <v>10194.725</v>
      </c>
    </row>
    <row r="51" spans="1:8" x14ac:dyDescent="0.2">
      <c r="C51" s="28"/>
      <c r="D51" s="28"/>
      <c r="F51" s="27"/>
      <c r="G51" s="29"/>
      <c r="H51" s="24"/>
    </row>
    <row r="52" spans="1:8" ht="15.75" customHeight="1" x14ac:dyDescent="0.2">
      <c r="C52" s="28"/>
      <c r="D52" s="28"/>
      <c r="F52" s="27"/>
      <c r="G52" s="29"/>
      <c r="H52" s="24"/>
    </row>
    <row r="53" spans="1:8" ht="12.75" x14ac:dyDescent="0.2">
      <c r="A53" s="97" t="s">
        <v>65</v>
      </c>
      <c r="B53" s="98"/>
      <c r="C53" s="98"/>
      <c r="D53" s="98"/>
      <c r="E53" s="98"/>
      <c r="F53" s="98"/>
      <c r="G53" s="98"/>
      <c r="H53" s="99"/>
    </row>
    <row r="54" spans="1:8" ht="36" customHeight="1" x14ac:dyDescent="0.2">
      <c r="A54" s="55" t="s">
        <v>0</v>
      </c>
      <c r="B54" s="58" t="s">
        <v>2</v>
      </c>
      <c r="C54" s="57" t="s">
        <v>33</v>
      </c>
      <c r="D54" s="57" t="s">
        <v>101</v>
      </c>
      <c r="E54" s="57" t="s">
        <v>8</v>
      </c>
      <c r="F54" s="95" t="s">
        <v>93</v>
      </c>
      <c r="G54" s="58" t="s">
        <v>104</v>
      </c>
      <c r="H54" s="58" t="s">
        <v>51</v>
      </c>
    </row>
    <row r="55" spans="1:8" ht="15.75" customHeight="1" x14ac:dyDescent="0.2">
      <c r="A55" s="144" t="s">
        <v>39</v>
      </c>
      <c r="B55" s="150" t="s">
        <v>40</v>
      </c>
      <c r="C55" s="151">
        <v>200</v>
      </c>
      <c r="D55" s="148">
        <v>1</v>
      </c>
      <c r="E55" s="152">
        <v>10</v>
      </c>
      <c r="F55" s="147">
        <v>7.6499999999999999E-2</v>
      </c>
      <c r="G55" s="122">
        <f>C55*(E55*(1+F55))</f>
        <v>2153</v>
      </c>
      <c r="H55" s="123">
        <f>D55*G55</f>
        <v>2153</v>
      </c>
    </row>
    <row r="56" spans="1:8" ht="15.75" customHeight="1" x14ac:dyDescent="0.2">
      <c r="A56" s="144"/>
      <c r="B56" s="150"/>
      <c r="C56" s="151"/>
      <c r="D56" s="148"/>
      <c r="E56" s="152"/>
      <c r="F56" s="147"/>
      <c r="G56" s="122"/>
      <c r="H56" s="123"/>
    </row>
    <row r="57" spans="1:8" x14ac:dyDescent="0.2">
      <c r="C57" s="207" t="s">
        <v>209</v>
      </c>
      <c r="D57" s="207" t="s">
        <v>208</v>
      </c>
      <c r="F57" s="31"/>
      <c r="G57" s="50"/>
    </row>
    <row r="58" spans="1:8" x14ac:dyDescent="0.2">
      <c r="F58"/>
      <c r="G58" s="27" t="s">
        <v>10</v>
      </c>
      <c r="H58" s="125">
        <f>SUM(H55:H57)</f>
        <v>2153</v>
      </c>
    </row>
    <row r="59" spans="1:8" x14ac:dyDescent="0.2">
      <c r="F59" s="31"/>
      <c r="G59" s="30"/>
    </row>
    <row r="60" spans="1:8" x14ac:dyDescent="0.2">
      <c r="A60" s="32"/>
      <c r="B60" s="32"/>
      <c r="C60" s="33"/>
      <c r="D60" s="33"/>
      <c r="E60" s="12"/>
      <c r="F60" s="34"/>
      <c r="G60" s="35"/>
      <c r="H60" s="32"/>
    </row>
    <row r="61" spans="1:8" x14ac:dyDescent="0.2">
      <c r="F61" s="31"/>
      <c r="G61" s="30"/>
    </row>
    <row r="62" spans="1:8" ht="12" thickBot="1" x14ac:dyDescent="0.25">
      <c r="D62" s="5"/>
      <c r="E62"/>
      <c r="F62"/>
      <c r="G62" s="27" t="s">
        <v>182</v>
      </c>
      <c r="H62" s="126">
        <f>H58+H50</f>
        <v>12347.725</v>
      </c>
    </row>
    <row r="63" spans="1:8" ht="12" thickTop="1" x14ac:dyDescent="0.2">
      <c r="D63" s="5"/>
      <c r="E63" s="3"/>
      <c r="F63"/>
    </row>
    <row r="64" spans="1:8" x14ac:dyDescent="0.2">
      <c r="A64" s="13" t="s">
        <v>105</v>
      </c>
      <c r="C64"/>
      <c r="D64"/>
      <c r="E64"/>
      <c r="F64"/>
    </row>
    <row r="65" spans="1:9" ht="24.75" customHeight="1" x14ac:dyDescent="0.2">
      <c r="A65" s="241" t="s">
        <v>106</v>
      </c>
      <c r="B65" s="241"/>
      <c r="C65" s="241"/>
      <c r="D65" s="241"/>
      <c r="E65" s="241"/>
      <c r="F65" s="241"/>
      <c r="G65" s="241"/>
      <c r="H65" s="241"/>
      <c r="I65" s="241"/>
    </row>
    <row r="66" spans="1:9" x14ac:dyDescent="0.2">
      <c r="A66" s="13" t="s">
        <v>107</v>
      </c>
      <c r="B66" s="101" t="s">
        <v>94</v>
      </c>
      <c r="C66" s="102"/>
      <c r="D66" s="103"/>
      <c r="E66" s="104" t="s">
        <v>108</v>
      </c>
      <c r="F66"/>
    </row>
    <row r="68" spans="1:9" ht="12.75" x14ac:dyDescent="0.2">
      <c r="A68" s="235" t="s">
        <v>148</v>
      </c>
      <c r="B68" s="236"/>
      <c r="C68" s="236"/>
      <c r="D68" s="236"/>
      <c r="E68" s="236"/>
      <c r="F68" s="236"/>
      <c r="G68" s="236"/>
      <c r="H68" s="237"/>
    </row>
    <row r="69" spans="1:9" x14ac:dyDescent="0.2">
      <c r="A69" s="238" t="s">
        <v>147</v>
      </c>
      <c r="B69" s="239"/>
      <c r="C69" s="239"/>
      <c r="D69" s="239"/>
      <c r="E69" s="239"/>
      <c r="F69" s="239"/>
      <c r="G69" s="239"/>
      <c r="H69" s="240"/>
      <c r="I69" s="208" t="s">
        <v>208</v>
      </c>
    </row>
    <row r="70" spans="1:9" ht="40.5" customHeight="1" x14ac:dyDescent="0.2">
      <c r="A70" s="238" t="s">
        <v>164</v>
      </c>
      <c r="B70" s="239"/>
      <c r="C70" s="239"/>
      <c r="D70" s="239"/>
      <c r="E70" s="239"/>
      <c r="F70" s="239"/>
      <c r="G70" s="239"/>
      <c r="H70" s="240"/>
      <c r="I70" s="208" t="s">
        <v>209</v>
      </c>
    </row>
    <row r="72" spans="1:9" ht="12.75" x14ac:dyDescent="0.2">
      <c r="A72" s="7" t="s">
        <v>186</v>
      </c>
      <c r="B72" s="8"/>
      <c r="C72" s="9"/>
      <c r="D72" s="10"/>
      <c r="E72" s="11"/>
      <c r="F72" s="8"/>
      <c r="G72" s="8"/>
    </row>
    <row r="73" spans="1:9" ht="33.75" x14ac:dyDescent="0.2">
      <c r="A73" s="55" t="s">
        <v>23</v>
      </c>
      <c r="B73" s="57" t="s">
        <v>169</v>
      </c>
      <c r="C73" s="57" t="s">
        <v>170</v>
      </c>
      <c r="D73" s="57" t="s">
        <v>171</v>
      </c>
      <c r="E73" s="57" t="s">
        <v>172</v>
      </c>
      <c r="F73" s="17"/>
      <c r="G73" s="185"/>
    </row>
    <row r="74" spans="1:9" x14ac:dyDescent="0.2">
      <c r="A74" s="189" t="str">
        <f>IF(A12=0,"",A12)</f>
        <v>Employee #1</v>
      </c>
      <c r="B74" s="186">
        <f t="shared" ref="B74:B79" si="0">SUMIF($A$12:$A$67,A74,$D$12:$D$67)</f>
        <v>0.1</v>
      </c>
      <c r="C74" s="191">
        <v>1</v>
      </c>
      <c r="D74" s="187" t="str">
        <f t="shared" ref="D74:D79" si="1">IF(B74&gt;C74,"Yes","No")</f>
        <v>No</v>
      </c>
      <c r="E74" s="122" t="str">
        <f t="shared" ref="E74:E79" si="2">IF(D74="Yes","Reduce LOE utilized in rates above","OK")</f>
        <v>OK</v>
      </c>
      <c r="F74" s="17"/>
      <c r="G74" s="185"/>
    </row>
    <row r="75" spans="1:9" x14ac:dyDescent="0.2">
      <c r="A75" s="189" t="str">
        <f>IF(A13=0,"",A13)</f>
        <v>Employee #2</v>
      </c>
      <c r="B75" s="186">
        <f t="shared" si="0"/>
        <v>0.2</v>
      </c>
      <c r="C75" s="191">
        <v>1</v>
      </c>
      <c r="D75" s="187" t="str">
        <f t="shared" si="1"/>
        <v>No</v>
      </c>
      <c r="E75" s="122" t="str">
        <f t="shared" si="2"/>
        <v>OK</v>
      </c>
      <c r="F75"/>
    </row>
    <row r="76" spans="1:9" x14ac:dyDescent="0.2">
      <c r="A76" s="189" t="str">
        <f>IF(A21=0,"",A21)</f>
        <v>Employee #3 (on-call)</v>
      </c>
      <c r="B76" s="186">
        <f t="shared" si="0"/>
        <v>0.9</v>
      </c>
      <c r="C76" s="191">
        <v>1</v>
      </c>
      <c r="D76" s="187" t="str">
        <f t="shared" si="1"/>
        <v>No</v>
      </c>
      <c r="E76" s="122" t="str">
        <f t="shared" si="2"/>
        <v>OK</v>
      </c>
      <c r="F76"/>
    </row>
    <row r="77" spans="1:9" x14ac:dyDescent="0.2">
      <c r="A77" s="189" t="str">
        <f>IF(A46=0,"",A46)</f>
        <v>Employee #4</v>
      </c>
      <c r="B77" s="186">
        <f t="shared" si="0"/>
        <v>0.1</v>
      </c>
      <c r="C77" s="191">
        <v>1</v>
      </c>
      <c r="D77" s="187" t="str">
        <f t="shared" si="1"/>
        <v>No</v>
      </c>
      <c r="E77" s="122" t="str">
        <f t="shared" si="2"/>
        <v>OK</v>
      </c>
      <c r="F77" s="120"/>
    </row>
    <row r="78" spans="1:9" x14ac:dyDescent="0.2">
      <c r="A78" s="189" t="str">
        <f>IF(A47=0,"",A47)</f>
        <v>Employee #5</v>
      </c>
      <c r="B78" s="186">
        <f t="shared" si="0"/>
        <v>0.05</v>
      </c>
      <c r="C78" s="191">
        <v>1</v>
      </c>
      <c r="D78" s="187" t="str">
        <f t="shared" si="1"/>
        <v>No</v>
      </c>
      <c r="E78" s="122" t="str">
        <f t="shared" si="2"/>
        <v>OK</v>
      </c>
      <c r="F78" s="17"/>
      <c r="G78" s="185"/>
    </row>
    <row r="79" spans="1:9" x14ac:dyDescent="0.2">
      <c r="A79" s="189" t="str">
        <f>IF(A55=0,"",A55)</f>
        <v>Employee #6 (on-call)</v>
      </c>
      <c r="B79" s="186">
        <f t="shared" si="0"/>
        <v>1</v>
      </c>
      <c r="C79" s="191">
        <v>1</v>
      </c>
      <c r="D79" s="187" t="str">
        <f t="shared" si="1"/>
        <v>No</v>
      </c>
      <c r="E79" s="122" t="str">
        <f t="shared" si="2"/>
        <v>OK</v>
      </c>
    </row>
  </sheetData>
  <mergeCells count="11">
    <mergeCell ref="A68:H68"/>
    <mergeCell ref="A69:H69"/>
    <mergeCell ref="A70:H70"/>
    <mergeCell ref="A65:I65"/>
    <mergeCell ref="A10:H10"/>
    <mergeCell ref="A19:H19"/>
    <mergeCell ref="B11:C11"/>
    <mergeCell ref="A44:H44"/>
    <mergeCell ref="A30:H30"/>
    <mergeCell ref="A31:H31"/>
    <mergeCell ref="A32:H32"/>
  </mergeCells>
  <phoneticPr fontId="0" type="noConversion"/>
  <pageMargins left="0.25" right="0.25" top="0.5" bottom="0.25" header="0.5" footer="0.5"/>
  <pageSetup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I49"/>
  <sheetViews>
    <sheetView showGridLines="0" topLeftCell="A14" workbookViewId="0">
      <selection activeCell="H45" sqref="H45"/>
    </sheetView>
  </sheetViews>
  <sheetFormatPr defaultRowHeight="11.25" x14ac:dyDescent="0.2"/>
  <cols>
    <col min="4" max="4" width="29.5" customWidth="1"/>
    <col min="5" max="5" width="12.83203125" style="37" customWidth="1"/>
    <col min="6" max="6" width="11.33203125" customWidth="1"/>
    <col min="7" max="7" width="10.6640625" customWidth="1"/>
  </cols>
  <sheetData>
    <row r="1" spans="1:9" ht="12" x14ac:dyDescent="0.2">
      <c r="A1" s="22"/>
      <c r="I1" s="24" t="s">
        <v>20</v>
      </c>
    </row>
    <row r="2" spans="1:9" ht="12" x14ac:dyDescent="0.2">
      <c r="A2" s="23"/>
    </row>
    <row r="3" spans="1:9" ht="12.75" x14ac:dyDescent="0.2">
      <c r="A3" s="242" t="s">
        <v>189</v>
      </c>
      <c r="B3" s="242"/>
      <c r="C3" s="242"/>
      <c r="D3" s="242"/>
      <c r="E3" s="242"/>
      <c r="F3" s="242"/>
      <c r="G3" s="242"/>
      <c r="H3" s="242"/>
      <c r="I3" s="242"/>
    </row>
    <row r="4" spans="1:9" ht="24.75" customHeight="1" x14ac:dyDescent="0.2">
      <c r="A4" s="256" t="s">
        <v>190</v>
      </c>
      <c r="B4" s="256"/>
      <c r="C4" s="256"/>
      <c r="D4" s="256"/>
      <c r="E4" s="256"/>
      <c r="F4" s="256"/>
      <c r="G4" s="256"/>
      <c r="H4" s="256"/>
      <c r="I4" s="256"/>
    </row>
    <row r="5" spans="1:9" ht="45" x14ac:dyDescent="0.2">
      <c r="A5" s="255" t="s">
        <v>3</v>
      </c>
      <c r="B5" s="255"/>
      <c r="C5" s="255"/>
      <c r="D5" s="255"/>
      <c r="E5" s="59" t="s">
        <v>52</v>
      </c>
    </row>
    <row r="6" spans="1:9" x14ac:dyDescent="0.2">
      <c r="A6" s="144" t="s">
        <v>119</v>
      </c>
      <c r="B6" s="198"/>
      <c r="C6" s="198"/>
      <c r="D6" s="198"/>
      <c r="E6" s="150">
        <v>10000</v>
      </c>
    </row>
    <row r="7" spans="1:9" x14ac:dyDescent="0.2">
      <c r="A7" s="144" t="s">
        <v>120</v>
      </c>
      <c r="B7" s="198"/>
      <c r="C7" s="198"/>
      <c r="D7" s="198"/>
      <c r="E7" s="150">
        <v>4000</v>
      </c>
    </row>
    <row r="8" spans="1:9" x14ac:dyDescent="0.2">
      <c r="A8" s="144" t="s">
        <v>121</v>
      </c>
      <c r="B8" s="198"/>
      <c r="C8" s="198"/>
      <c r="D8" s="198"/>
      <c r="E8" s="153">
        <v>500</v>
      </c>
    </row>
    <row r="9" spans="1:9" x14ac:dyDescent="0.2">
      <c r="A9" s="48"/>
      <c r="E9" s="53"/>
    </row>
    <row r="10" spans="1:9" ht="12" thickBot="1" x14ac:dyDescent="0.25">
      <c r="A10" s="48"/>
      <c r="D10" s="17" t="s">
        <v>191</v>
      </c>
      <c r="E10" s="115">
        <f>SUM(E6:E8)</f>
        <v>14500</v>
      </c>
    </row>
    <row r="11" spans="1:9" ht="12" thickTop="1" x14ac:dyDescent="0.2">
      <c r="E11"/>
    </row>
    <row r="12" spans="1:9" ht="12.75" x14ac:dyDescent="0.2">
      <c r="A12" s="242" t="s">
        <v>62</v>
      </c>
      <c r="B12" s="242"/>
      <c r="C12" s="242"/>
      <c r="D12" s="242"/>
      <c r="E12" s="242"/>
      <c r="F12" s="242"/>
      <c r="G12" s="242"/>
      <c r="H12" s="242"/>
      <c r="I12" s="242"/>
    </row>
    <row r="13" spans="1:9" x14ac:dyDescent="0.2">
      <c r="A13" s="13" t="s">
        <v>47</v>
      </c>
    </row>
    <row r="14" spans="1:9" x14ac:dyDescent="0.2">
      <c r="E14" s="38"/>
    </row>
    <row r="15" spans="1:9" ht="22.5" x14ac:dyDescent="0.2">
      <c r="A15" s="243" t="s">
        <v>115</v>
      </c>
      <c r="B15" s="244"/>
      <c r="C15" s="244"/>
      <c r="D15" s="245"/>
      <c r="E15" s="61" t="s">
        <v>60</v>
      </c>
    </row>
    <row r="16" spans="1:9" x14ac:dyDescent="0.2">
      <c r="A16" s="144" t="s">
        <v>122</v>
      </c>
      <c r="B16" s="144"/>
      <c r="C16" s="144"/>
      <c r="D16" s="144"/>
      <c r="E16" s="150">
        <v>2500</v>
      </c>
    </row>
    <row r="17" spans="1:9" x14ac:dyDescent="0.2">
      <c r="A17" s="144" t="s">
        <v>123</v>
      </c>
      <c r="B17" s="144"/>
      <c r="C17" s="144"/>
      <c r="D17" s="144"/>
      <c r="E17" s="150">
        <v>1200</v>
      </c>
    </row>
    <row r="18" spans="1:9" x14ac:dyDescent="0.2">
      <c r="A18" s="144" t="s">
        <v>124</v>
      </c>
      <c r="B18" s="144"/>
      <c r="C18" s="144"/>
      <c r="D18" s="144"/>
      <c r="E18" s="150">
        <v>1200</v>
      </c>
    </row>
    <row r="19" spans="1:9" x14ac:dyDescent="0.2">
      <c r="A19" s="144" t="s">
        <v>125</v>
      </c>
      <c r="B19" s="144"/>
      <c r="C19" s="144"/>
      <c r="D19" s="144"/>
      <c r="E19" s="150">
        <v>1500</v>
      </c>
    </row>
    <row r="20" spans="1:9" x14ac:dyDescent="0.2">
      <c r="A20" s="144" t="s">
        <v>126</v>
      </c>
      <c r="B20" s="144"/>
      <c r="C20" s="144"/>
      <c r="D20" s="144"/>
      <c r="E20" s="153">
        <v>2500</v>
      </c>
    </row>
    <row r="21" spans="1:9" x14ac:dyDescent="0.2">
      <c r="A21" s="144"/>
      <c r="B21" s="144"/>
      <c r="C21" s="144"/>
      <c r="D21" s="144"/>
      <c r="E21" s="153"/>
    </row>
    <row r="22" spans="1:9" x14ac:dyDescent="0.2">
      <c r="E22" s="20"/>
    </row>
    <row r="23" spans="1:9" ht="12" thickBot="1" x14ac:dyDescent="0.25">
      <c r="D23" s="17" t="s">
        <v>192</v>
      </c>
      <c r="E23" s="115">
        <f>SUM(E16:E22)</f>
        <v>8900</v>
      </c>
    </row>
    <row r="24" spans="1:9" ht="12" thickTop="1" x14ac:dyDescent="0.2">
      <c r="E24" s="20"/>
    </row>
    <row r="25" spans="1:9" ht="18.75" customHeight="1" thickBot="1" x14ac:dyDescent="0.25">
      <c r="D25" s="17" t="s">
        <v>184</v>
      </c>
      <c r="E25" s="115">
        <f>SUM(E10,E23)</f>
        <v>23400</v>
      </c>
    </row>
    <row r="26" spans="1:9" ht="12" thickTop="1" x14ac:dyDescent="0.2"/>
    <row r="27" spans="1:9" x14ac:dyDescent="0.2">
      <c r="A27" s="60"/>
      <c r="B27" s="60"/>
      <c r="C27" s="60"/>
      <c r="D27" s="60"/>
      <c r="E27" s="49"/>
      <c r="F27" s="60"/>
      <c r="G27" s="60"/>
      <c r="H27" s="60"/>
      <c r="I27" s="60"/>
    </row>
    <row r="31" spans="1:9" ht="12.75" x14ac:dyDescent="0.2">
      <c r="A31" s="242" t="s">
        <v>187</v>
      </c>
      <c r="B31" s="242"/>
      <c r="C31" s="242"/>
      <c r="D31" s="242"/>
      <c r="E31" s="242"/>
      <c r="F31" s="242"/>
      <c r="G31" s="242"/>
      <c r="H31" s="242"/>
      <c r="I31" s="242"/>
    </row>
    <row r="32" spans="1:9" x14ac:dyDescent="0.2">
      <c r="A32" s="13" t="s">
        <v>58</v>
      </c>
    </row>
    <row r="33" spans="1:8" x14ac:dyDescent="0.2">
      <c r="E33" s="38"/>
      <c r="F33" s="206" t="s">
        <v>206</v>
      </c>
    </row>
    <row r="34" spans="1:8" ht="45" x14ac:dyDescent="0.2">
      <c r="A34" s="243" t="s">
        <v>3</v>
      </c>
      <c r="B34" s="244"/>
      <c r="C34" s="244"/>
      <c r="D34" s="245"/>
      <c r="E34" s="61" t="s">
        <v>60</v>
      </c>
      <c r="F34" s="58" t="s">
        <v>96</v>
      </c>
      <c r="G34" s="58" t="s">
        <v>51</v>
      </c>
    </row>
    <row r="35" spans="1:8" x14ac:dyDescent="0.2">
      <c r="A35" s="144" t="s">
        <v>16</v>
      </c>
      <c r="B35" s="144"/>
      <c r="C35" s="144"/>
      <c r="D35" s="144"/>
      <c r="E35" s="150">
        <v>1200</v>
      </c>
      <c r="F35" s="156">
        <v>0.25</v>
      </c>
      <c r="G35" s="116">
        <f t="shared" ref="G35:G40" si="0">E35*F35</f>
        <v>300</v>
      </c>
    </row>
    <row r="36" spans="1:8" x14ac:dyDescent="0.2">
      <c r="A36" s="144" t="s">
        <v>167</v>
      </c>
      <c r="B36" s="144"/>
      <c r="C36" s="144"/>
      <c r="D36" s="144"/>
      <c r="E36" s="150">
        <v>300</v>
      </c>
      <c r="F36" s="156">
        <v>0.25</v>
      </c>
      <c r="G36" s="116">
        <f t="shared" si="0"/>
        <v>75</v>
      </c>
    </row>
    <row r="37" spans="1:8" x14ac:dyDescent="0.2">
      <c r="A37" s="144" t="s">
        <v>54</v>
      </c>
      <c r="B37" s="144"/>
      <c r="C37" s="144"/>
      <c r="D37" s="144"/>
      <c r="E37" s="150">
        <v>7000</v>
      </c>
      <c r="F37" s="156">
        <v>0.25</v>
      </c>
      <c r="G37" s="116">
        <f t="shared" si="0"/>
        <v>1750</v>
      </c>
    </row>
    <row r="38" spans="1:8" x14ac:dyDescent="0.2">
      <c r="A38" s="144" t="s">
        <v>53</v>
      </c>
      <c r="B38" s="144"/>
      <c r="C38" s="144"/>
      <c r="D38" s="144"/>
      <c r="E38" s="150">
        <v>2000</v>
      </c>
      <c r="F38" s="156">
        <v>0.25</v>
      </c>
      <c r="G38" s="116">
        <f t="shared" si="0"/>
        <v>500</v>
      </c>
    </row>
    <row r="39" spans="1:8" x14ac:dyDescent="0.2">
      <c r="A39" s="144" t="s">
        <v>55</v>
      </c>
      <c r="B39" s="144"/>
      <c r="C39" s="144"/>
      <c r="D39" s="144"/>
      <c r="E39" s="150">
        <v>400</v>
      </c>
      <c r="F39" s="156">
        <v>0.25</v>
      </c>
      <c r="G39" s="116">
        <f t="shared" si="0"/>
        <v>100</v>
      </c>
    </row>
    <row r="40" spans="1:8" x14ac:dyDescent="0.2">
      <c r="A40" s="144" t="s">
        <v>59</v>
      </c>
      <c r="B40" s="144"/>
      <c r="C40" s="144"/>
      <c r="D40" s="144"/>
      <c r="E40" s="153">
        <v>7500</v>
      </c>
      <c r="F40" s="156">
        <v>0.25</v>
      </c>
      <c r="G40" s="116">
        <f t="shared" si="0"/>
        <v>1875</v>
      </c>
    </row>
    <row r="41" spans="1:8" x14ac:dyDescent="0.2">
      <c r="A41" s="144"/>
      <c r="B41" s="144"/>
      <c r="C41" s="144"/>
      <c r="D41" s="144"/>
      <c r="E41" s="153"/>
      <c r="F41" s="156"/>
      <c r="G41" s="116"/>
    </row>
    <row r="42" spans="1:8" x14ac:dyDescent="0.2">
      <c r="E42" s="52"/>
    </row>
    <row r="43" spans="1:8" x14ac:dyDescent="0.2">
      <c r="A43" s="24" t="s">
        <v>61</v>
      </c>
    </row>
    <row r="44" spans="1:8" ht="20.100000000000001" customHeight="1" x14ac:dyDescent="0.2">
      <c r="B44" s="246" t="s">
        <v>166</v>
      </c>
      <c r="C44" s="247"/>
      <c r="D44" s="247"/>
      <c r="E44" s="247"/>
      <c r="F44" s="247"/>
      <c r="G44" s="248"/>
    </row>
    <row r="45" spans="1:8" ht="20.100000000000001" customHeight="1" x14ac:dyDescent="0.2">
      <c r="B45" s="249"/>
      <c r="C45" s="250"/>
      <c r="D45" s="250"/>
      <c r="E45" s="250"/>
      <c r="F45" s="250"/>
      <c r="G45" s="251"/>
      <c r="H45" s="208" t="s">
        <v>206</v>
      </c>
    </row>
    <row r="46" spans="1:8" ht="20.100000000000001" customHeight="1" x14ac:dyDescent="0.2">
      <c r="B46" s="252"/>
      <c r="C46" s="253"/>
      <c r="D46" s="253"/>
      <c r="E46" s="253"/>
      <c r="F46" s="253"/>
      <c r="G46" s="254"/>
    </row>
    <row r="47" spans="1:8" x14ac:dyDescent="0.2">
      <c r="B47" s="54"/>
      <c r="C47" s="54"/>
      <c r="D47" s="54"/>
      <c r="E47" s="54"/>
      <c r="F47" s="54"/>
      <c r="G47" s="54"/>
    </row>
    <row r="48" spans="1:8" ht="18.75" customHeight="1" thickBot="1" x14ac:dyDescent="0.25">
      <c r="F48" s="17" t="s">
        <v>185</v>
      </c>
      <c r="G48" s="115">
        <f>SUM(G35:G43)</f>
        <v>4600</v>
      </c>
    </row>
    <row r="49" spans="1:9" ht="12" thickTop="1" x14ac:dyDescent="0.2">
      <c r="A49" s="32"/>
      <c r="B49" s="32"/>
      <c r="C49" s="32"/>
      <c r="D49" s="32"/>
      <c r="E49" s="39"/>
      <c r="F49" s="32"/>
      <c r="G49" s="32"/>
      <c r="H49" s="32"/>
      <c r="I49" s="32"/>
    </row>
  </sheetData>
  <mergeCells count="8">
    <mergeCell ref="A31:I31"/>
    <mergeCell ref="A34:D34"/>
    <mergeCell ref="B44:G46"/>
    <mergeCell ref="A5:D5"/>
    <mergeCell ref="A3:I3"/>
    <mergeCell ref="A4:I4"/>
    <mergeCell ref="A12:I12"/>
    <mergeCell ref="A15:D15"/>
  </mergeCells>
  <phoneticPr fontId="0" type="noConversion"/>
  <pageMargins left="0.75" right="0.6"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M42"/>
  <sheetViews>
    <sheetView showGridLines="0" workbookViewId="0">
      <selection activeCell="L36" sqref="L36"/>
    </sheetView>
  </sheetViews>
  <sheetFormatPr defaultRowHeight="11.25" x14ac:dyDescent="0.2"/>
  <cols>
    <col min="1" max="1" width="23.33203125" customWidth="1"/>
    <col min="2" max="3" width="14.83203125" customWidth="1"/>
    <col min="4" max="4" width="11" customWidth="1"/>
    <col min="5" max="5" width="10.6640625" customWidth="1"/>
    <col min="6" max="9" width="11.1640625" customWidth="1"/>
    <col min="11" max="11" width="10.5" bestFit="1" customWidth="1"/>
  </cols>
  <sheetData>
    <row r="1" spans="1:13" ht="12" x14ac:dyDescent="0.2">
      <c r="A1" s="22"/>
      <c r="B1" s="22"/>
      <c r="C1" s="22"/>
      <c r="K1" s="37"/>
      <c r="L1" s="24" t="s">
        <v>21</v>
      </c>
    </row>
    <row r="2" spans="1:13" ht="12" x14ac:dyDescent="0.2">
      <c r="A2" s="23"/>
      <c r="B2" s="23"/>
      <c r="C2" s="23"/>
      <c r="K2" s="37"/>
    </row>
    <row r="3" spans="1:13" ht="12.75" x14ac:dyDescent="0.2">
      <c r="A3" s="242" t="s">
        <v>50</v>
      </c>
      <c r="B3" s="242"/>
      <c r="C3" s="242"/>
      <c r="D3" s="242"/>
      <c r="E3" s="242"/>
      <c r="F3" s="242"/>
      <c r="G3" s="242"/>
      <c r="H3" s="242"/>
      <c r="I3" s="242"/>
      <c r="J3" s="242"/>
      <c r="K3" s="242"/>
      <c r="L3" s="242"/>
      <c r="M3" s="79"/>
    </row>
    <row r="4" spans="1:13" x14ac:dyDescent="0.2">
      <c r="A4" s="172" t="s">
        <v>157</v>
      </c>
      <c r="B4" s="13"/>
      <c r="C4" s="13"/>
      <c r="K4" s="37"/>
    </row>
    <row r="5" spans="1:13" x14ac:dyDescent="0.2">
      <c r="A5" s="172" t="s">
        <v>158</v>
      </c>
      <c r="K5" s="37"/>
    </row>
    <row r="6" spans="1:13" x14ac:dyDescent="0.2">
      <c r="A6" s="172" t="s">
        <v>210</v>
      </c>
    </row>
    <row r="7" spans="1:13" x14ac:dyDescent="0.2">
      <c r="A7" s="172" t="s">
        <v>211</v>
      </c>
    </row>
    <row r="9" spans="1:13" ht="12.75" x14ac:dyDescent="0.2">
      <c r="A9" s="230" t="s">
        <v>155</v>
      </c>
      <c r="B9" s="231"/>
      <c r="C9" s="231"/>
      <c r="D9" s="231"/>
      <c r="E9" s="231"/>
      <c r="F9" s="231"/>
      <c r="G9" s="231"/>
      <c r="H9" s="231"/>
      <c r="I9" s="231"/>
      <c r="J9" s="231"/>
      <c r="K9" s="232"/>
    </row>
    <row r="10" spans="1:13" s="40" customFormat="1" ht="45" x14ac:dyDescent="0.2">
      <c r="A10" s="2" t="s">
        <v>3</v>
      </c>
      <c r="B10" s="2" t="s">
        <v>112</v>
      </c>
      <c r="C10" s="2" t="s">
        <v>114</v>
      </c>
      <c r="D10" s="2" t="s">
        <v>17</v>
      </c>
      <c r="E10" s="2" t="s">
        <v>18</v>
      </c>
      <c r="F10" s="2" t="s">
        <v>19</v>
      </c>
      <c r="G10" s="2" t="s">
        <v>156</v>
      </c>
      <c r="H10" s="2" t="s">
        <v>149</v>
      </c>
      <c r="I10" s="2" t="s">
        <v>150</v>
      </c>
      <c r="J10" s="51" t="s">
        <v>96</v>
      </c>
      <c r="K10" s="18" t="s">
        <v>51</v>
      </c>
    </row>
    <row r="11" spans="1:13" s="48" customFormat="1" x14ac:dyDescent="0.2">
      <c r="A11" s="144" t="s">
        <v>42</v>
      </c>
      <c r="B11" s="144" t="s">
        <v>113</v>
      </c>
      <c r="C11" s="144" t="s">
        <v>34</v>
      </c>
      <c r="D11" s="154">
        <v>15000</v>
      </c>
      <c r="E11" s="155">
        <v>7</v>
      </c>
      <c r="F11" s="117">
        <f>IFERROR(+D11/E11,0)</f>
        <v>2142.8571428571427</v>
      </c>
      <c r="G11" s="174">
        <v>42614</v>
      </c>
      <c r="H11" s="173">
        <f>IF((('.1 Cover'!$C$4-G11)/365)&gt;E11,E11,('.1 Cover'!$C$4-G11)/365)</f>
        <v>6.2465753424657535</v>
      </c>
      <c r="I11" s="173">
        <f>IF((E11-H11)&lt;0,0,E11-H11)</f>
        <v>0.75342465753424648</v>
      </c>
      <c r="J11" s="156">
        <v>1</v>
      </c>
      <c r="K11" s="116">
        <f>IF(I11&lt;1,F11*I11*J11,F11*J11)</f>
        <v>1614.4814090019565</v>
      </c>
    </row>
    <row r="12" spans="1:13" s="48" customFormat="1" x14ac:dyDescent="0.2">
      <c r="A12" s="144" t="s">
        <v>56</v>
      </c>
      <c r="B12" s="144" t="s">
        <v>113</v>
      </c>
      <c r="C12" s="144" t="s">
        <v>34</v>
      </c>
      <c r="D12" s="154">
        <v>10000</v>
      </c>
      <c r="E12" s="155">
        <v>7</v>
      </c>
      <c r="F12" s="117">
        <f>IFERROR(+D12/E12,0)</f>
        <v>1428.5714285714287</v>
      </c>
      <c r="G12" s="174">
        <v>43344</v>
      </c>
      <c r="H12" s="173">
        <f>IF((('.1 Cover'!$C$4-G12)/365)&gt;E12,E12,('.1 Cover'!$C$4-G12)/365)</f>
        <v>4.2465753424657535</v>
      </c>
      <c r="I12" s="173">
        <f>IF((E12-H12)&lt;0,0,E12-H12)</f>
        <v>2.7534246575342465</v>
      </c>
      <c r="J12" s="156">
        <v>0.05</v>
      </c>
      <c r="K12" s="116">
        <f>IF(I12&lt;1,F12*I12*J12,F12*J12)</f>
        <v>71.428571428571431</v>
      </c>
    </row>
    <row r="13" spans="1:13" s="48" customFormat="1" x14ac:dyDescent="0.2">
      <c r="A13" s="144" t="s">
        <v>43</v>
      </c>
      <c r="B13" s="144" t="s">
        <v>113</v>
      </c>
      <c r="C13" s="144" t="s">
        <v>34</v>
      </c>
      <c r="D13" s="154">
        <v>25000</v>
      </c>
      <c r="E13" s="155">
        <v>7</v>
      </c>
      <c r="F13" s="117">
        <f>IFERROR(+D13/E13,0)</f>
        <v>3571.4285714285716</v>
      </c>
      <c r="G13" s="174">
        <v>43739</v>
      </c>
      <c r="H13" s="173">
        <f>IF((('.1 Cover'!$C$4-G13)/365)&gt;E13,E13,('.1 Cover'!$C$4-G13)/365)</f>
        <v>3.1643835616438358</v>
      </c>
      <c r="I13" s="173">
        <f>IF((E13-H13)&lt;0,0,E13-H13)</f>
        <v>3.8356164383561642</v>
      </c>
      <c r="J13" s="156">
        <v>0.5</v>
      </c>
      <c r="K13" s="116">
        <f>IF(I13&lt;1,F13*I13*J13,F13*J13)</f>
        <v>1785.7142857142858</v>
      </c>
    </row>
    <row r="14" spans="1:13" s="48" customFormat="1" x14ac:dyDescent="0.2">
      <c r="A14" s="144" t="s">
        <v>44</v>
      </c>
      <c r="B14" s="144" t="s">
        <v>113</v>
      </c>
      <c r="C14" s="144" t="s">
        <v>34</v>
      </c>
      <c r="D14" s="154">
        <v>5000</v>
      </c>
      <c r="E14" s="155">
        <v>7</v>
      </c>
      <c r="F14" s="117">
        <f>IFERROR(+D14/E14,0)</f>
        <v>714.28571428571433</v>
      </c>
      <c r="G14" s="174">
        <v>44531</v>
      </c>
      <c r="H14" s="173">
        <f>IF((('.1 Cover'!$C$4-G14)/365)&gt;E14,E14,('.1 Cover'!$C$4-G14)/365)</f>
        <v>0.9945205479452055</v>
      </c>
      <c r="I14" s="173">
        <f>IF((E14-H14)&lt;0,0,E14-H14)</f>
        <v>6.0054794520547947</v>
      </c>
      <c r="J14" s="156">
        <v>1</v>
      </c>
      <c r="K14" s="116">
        <f>IF(I14&lt;1,F14*I14*J14,F14*J14)</f>
        <v>714.28571428571433</v>
      </c>
    </row>
    <row r="15" spans="1:13" s="48" customFormat="1" x14ac:dyDescent="0.2">
      <c r="A15" s="144" t="s">
        <v>45</v>
      </c>
      <c r="B15" s="144" t="s">
        <v>113</v>
      </c>
      <c r="C15" s="144" t="s">
        <v>34</v>
      </c>
      <c r="D15" s="154">
        <v>5250</v>
      </c>
      <c r="E15" s="155">
        <v>5</v>
      </c>
      <c r="F15" s="117">
        <f>IFERROR(+D15/E15,0)</f>
        <v>1050</v>
      </c>
      <c r="G15" s="174">
        <v>42156</v>
      </c>
      <c r="H15" s="173">
        <f>IF((('.1 Cover'!$C$4-G15)/365)&gt;E15,E15,('.1 Cover'!$C$4-G15)/365)</f>
        <v>5</v>
      </c>
      <c r="I15" s="173">
        <f>IF((E15-H15)&lt;0,0,E15-H15)</f>
        <v>0</v>
      </c>
      <c r="J15" s="156">
        <v>0.8</v>
      </c>
      <c r="K15" s="116">
        <f>IF(I15&lt;1,F15*I15*J15,F15*J15)</f>
        <v>0</v>
      </c>
    </row>
    <row r="16" spans="1:13" s="48" customFormat="1" x14ac:dyDescent="0.2">
      <c r="A16" s="144"/>
      <c r="B16" s="144"/>
      <c r="C16" s="144"/>
      <c r="D16" s="154"/>
      <c r="E16" s="155"/>
      <c r="F16" s="117"/>
      <c r="G16" s="174"/>
      <c r="H16" s="173"/>
      <c r="I16" s="173"/>
      <c r="J16" s="156"/>
      <c r="K16" s="116"/>
    </row>
    <row r="17" spans="1:11" x14ac:dyDescent="0.2">
      <c r="D17" s="41"/>
      <c r="E17" s="3"/>
      <c r="F17" s="41"/>
      <c r="G17" s="41"/>
      <c r="H17" s="41"/>
      <c r="I17" s="41"/>
      <c r="J17" s="207" t="s">
        <v>206</v>
      </c>
    </row>
    <row r="18" spans="1:11" s="24" customFormat="1" ht="11.25" customHeight="1" x14ac:dyDescent="0.2">
      <c r="D18" s="42"/>
      <c r="J18" s="17" t="s">
        <v>159</v>
      </c>
      <c r="K18" s="118">
        <f>SUM(K11:K17)</f>
        <v>4185.9099804305279</v>
      </c>
    </row>
    <row r="19" spans="1:11" x14ac:dyDescent="0.2">
      <c r="A19" s="32"/>
      <c r="B19" s="32"/>
      <c r="C19" s="32"/>
      <c r="D19" s="39"/>
      <c r="E19" s="32"/>
      <c r="F19" s="32"/>
      <c r="G19" s="32"/>
      <c r="H19" s="32"/>
      <c r="I19" s="32"/>
      <c r="J19" s="32"/>
      <c r="K19" s="32"/>
    </row>
    <row r="20" spans="1:11" x14ac:dyDescent="0.2">
      <c r="D20" s="37"/>
    </row>
    <row r="21" spans="1:11" x14ac:dyDescent="0.2">
      <c r="D21" s="37"/>
    </row>
    <row r="22" spans="1:11" x14ac:dyDescent="0.2">
      <c r="D22" s="37"/>
    </row>
    <row r="23" spans="1:11" ht="12.75" x14ac:dyDescent="0.2">
      <c r="A23" s="230" t="s">
        <v>46</v>
      </c>
      <c r="B23" s="231"/>
      <c r="C23" s="231"/>
      <c r="D23" s="231"/>
      <c r="E23" s="231"/>
      <c r="F23" s="231"/>
      <c r="G23" s="231"/>
      <c r="H23" s="231"/>
      <c r="I23" s="231"/>
      <c r="J23" s="231"/>
      <c r="K23" s="232"/>
    </row>
    <row r="24" spans="1:11" ht="45" x14ac:dyDescent="0.2">
      <c r="A24" s="257" t="s">
        <v>115</v>
      </c>
      <c r="B24" s="257"/>
      <c r="C24" s="257"/>
      <c r="D24" s="257"/>
      <c r="E24" s="257"/>
      <c r="F24" s="2"/>
      <c r="G24" s="2"/>
      <c r="H24" s="2"/>
      <c r="I24" s="2" t="s">
        <v>19</v>
      </c>
      <c r="J24" s="51" t="s">
        <v>96</v>
      </c>
      <c r="K24" s="18" t="s">
        <v>51</v>
      </c>
    </row>
    <row r="25" spans="1:11" s="48" customFormat="1" x14ac:dyDescent="0.2">
      <c r="A25" s="144" t="s">
        <v>118</v>
      </c>
      <c r="B25" s="144"/>
      <c r="C25" s="144"/>
      <c r="D25" s="157"/>
      <c r="E25" s="144"/>
      <c r="F25" s="154"/>
      <c r="G25" s="154"/>
      <c r="H25" s="154"/>
      <c r="I25" s="154">
        <v>2000</v>
      </c>
      <c r="J25" s="158">
        <v>0.8</v>
      </c>
      <c r="K25" s="119">
        <f>I25*J25</f>
        <v>1600</v>
      </c>
    </row>
    <row r="26" spans="1:11" s="48" customFormat="1" x14ac:dyDescent="0.2">
      <c r="A26" s="144" t="s">
        <v>116</v>
      </c>
      <c r="B26" s="144"/>
      <c r="C26" s="144"/>
      <c r="D26" s="157"/>
      <c r="E26" s="144"/>
      <c r="F26" s="157"/>
      <c r="G26" s="157"/>
      <c r="H26" s="157"/>
      <c r="I26" s="157">
        <v>1000</v>
      </c>
      <c r="J26" s="156">
        <v>1</v>
      </c>
      <c r="K26" s="117">
        <f>I26*J26</f>
        <v>1000</v>
      </c>
    </row>
    <row r="27" spans="1:11" s="48" customFormat="1" x14ac:dyDescent="0.2">
      <c r="A27" s="144" t="s">
        <v>117</v>
      </c>
      <c r="B27" s="144"/>
      <c r="C27" s="144"/>
      <c r="D27" s="157"/>
      <c r="E27" s="144"/>
      <c r="F27" s="157"/>
      <c r="G27" s="157"/>
      <c r="H27" s="157"/>
      <c r="I27" s="157">
        <v>3000</v>
      </c>
      <c r="J27" s="156">
        <v>0.05</v>
      </c>
      <c r="K27" s="117">
        <f>I27*J27</f>
        <v>150</v>
      </c>
    </row>
    <row r="28" spans="1:11" s="48" customFormat="1" x14ac:dyDescent="0.2">
      <c r="A28" s="144"/>
      <c r="B28" s="144"/>
      <c r="C28" s="144"/>
      <c r="D28" s="157"/>
      <c r="E28" s="144"/>
      <c r="F28" s="157"/>
      <c r="G28" s="157"/>
      <c r="H28" s="157"/>
      <c r="I28" s="157"/>
      <c r="J28" s="156"/>
      <c r="K28" s="117"/>
    </row>
    <row r="29" spans="1:11" x14ac:dyDescent="0.2">
      <c r="D29" s="37"/>
      <c r="J29" s="207" t="s">
        <v>206</v>
      </c>
      <c r="K29" s="120"/>
    </row>
    <row r="30" spans="1:11" x14ac:dyDescent="0.2">
      <c r="D30" s="37"/>
      <c r="J30" s="17" t="s">
        <v>57</v>
      </c>
      <c r="K30" s="118">
        <f>SUM(K25:K29)</f>
        <v>2750</v>
      </c>
    </row>
    <row r="31" spans="1:11" x14ac:dyDescent="0.2">
      <c r="A31" s="32"/>
      <c r="B31" s="32"/>
      <c r="C31" s="32"/>
      <c r="D31" s="39"/>
      <c r="E31" s="32"/>
      <c r="F31" s="32"/>
      <c r="G31" s="32"/>
      <c r="H31" s="32"/>
      <c r="I31" s="32"/>
      <c r="J31" s="32"/>
      <c r="K31" s="32"/>
    </row>
    <row r="32" spans="1:11" x14ac:dyDescent="0.2">
      <c r="D32" s="37"/>
    </row>
    <row r="33" spans="1:12" x14ac:dyDescent="0.2">
      <c r="D33" s="37"/>
    </row>
    <row r="34" spans="1:12" x14ac:dyDescent="0.2">
      <c r="A34" s="24" t="s">
        <v>61</v>
      </c>
      <c r="B34" s="24"/>
      <c r="C34" s="24"/>
      <c r="J34" s="37"/>
    </row>
    <row r="35" spans="1:12" ht="20.100000000000001" customHeight="1" x14ac:dyDescent="0.2">
      <c r="D35" s="246" t="s">
        <v>165</v>
      </c>
      <c r="E35" s="247"/>
      <c r="F35" s="247"/>
      <c r="G35" s="247"/>
      <c r="H35" s="247"/>
      <c r="I35" s="247"/>
      <c r="J35" s="247"/>
      <c r="K35" s="248"/>
    </row>
    <row r="36" spans="1:12" ht="20.100000000000001" customHeight="1" x14ac:dyDescent="0.2">
      <c r="D36" s="249"/>
      <c r="E36" s="250"/>
      <c r="F36" s="250"/>
      <c r="G36" s="250"/>
      <c r="H36" s="250"/>
      <c r="I36" s="250"/>
      <c r="J36" s="250"/>
      <c r="K36" s="251"/>
      <c r="L36" s="208" t="s">
        <v>206</v>
      </c>
    </row>
    <row r="37" spans="1:12" ht="20.100000000000001" customHeight="1" x14ac:dyDescent="0.2">
      <c r="D37" s="252"/>
      <c r="E37" s="253"/>
      <c r="F37" s="253"/>
      <c r="G37" s="253"/>
      <c r="H37" s="253"/>
      <c r="I37" s="253"/>
      <c r="J37" s="253"/>
      <c r="K37" s="254"/>
    </row>
    <row r="38" spans="1:12" x14ac:dyDescent="0.2">
      <c r="D38" s="37"/>
    </row>
    <row r="39" spans="1:12" ht="15.75" customHeight="1" thickBot="1" x14ac:dyDescent="0.25">
      <c r="A39" s="24"/>
      <c r="B39" s="24"/>
      <c r="C39" s="24"/>
      <c r="D39" s="42"/>
      <c r="J39" s="17" t="s">
        <v>183</v>
      </c>
      <c r="K39" s="121">
        <f>+K18+K30</f>
        <v>6935.9099804305279</v>
      </c>
    </row>
    <row r="40" spans="1:12" ht="12" thickTop="1" x14ac:dyDescent="0.2">
      <c r="D40" s="37"/>
    </row>
    <row r="41" spans="1:12" x14ac:dyDescent="0.2">
      <c r="D41" s="37"/>
    </row>
    <row r="42" spans="1:12" x14ac:dyDescent="0.2">
      <c r="D42" s="37"/>
    </row>
  </sheetData>
  <mergeCells count="5">
    <mergeCell ref="A24:E24"/>
    <mergeCell ref="A9:K9"/>
    <mergeCell ref="A23:K23"/>
    <mergeCell ref="D35:K37"/>
    <mergeCell ref="A3:L3"/>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M55"/>
  <sheetViews>
    <sheetView showGridLines="0" tabSelected="1" topLeftCell="A16" workbookViewId="0">
      <selection activeCell="M34" sqref="M34"/>
    </sheetView>
  </sheetViews>
  <sheetFormatPr defaultColWidth="9.33203125" defaultRowHeight="11.25" x14ac:dyDescent="0.2"/>
  <cols>
    <col min="1" max="1" width="9.33203125" style="64"/>
    <col min="2" max="2" width="13.5" style="64" customWidth="1"/>
    <col min="3" max="3" width="6.1640625" style="64" customWidth="1"/>
    <col min="4" max="4" width="12.6640625" style="64" customWidth="1"/>
    <col min="5" max="7" width="9.33203125" style="64"/>
    <col min="8" max="8" width="20.83203125" style="64" customWidth="1"/>
    <col min="9" max="9" width="16.6640625" style="64" customWidth="1"/>
    <col min="10" max="10" width="17.1640625" style="64" customWidth="1"/>
    <col min="11" max="11" width="15.6640625" style="64" customWidth="1"/>
    <col min="12" max="12" width="13.6640625" style="64" bestFit="1" customWidth="1"/>
    <col min="13" max="13" width="11.33203125" style="64" bestFit="1" customWidth="1"/>
    <col min="14" max="16384" width="9.33203125" style="64"/>
  </cols>
  <sheetData>
    <row r="1" spans="1:9" ht="12.75" x14ac:dyDescent="0.2">
      <c r="A1" s="85" t="s">
        <v>75</v>
      </c>
      <c r="B1" s="85"/>
      <c r="C1" s="85"/>
      <c r="D1" s="85"/>
      <c r="E1" s="85"/>
      <c r="F1" s="85"/>
      <c r="G1" s="85"/>
      <c r="H1" s="45"/>
      <c r="I1" s="45" t="s">
        <v>188</v>
      </c>
    </row>
    <row r="2" spans="1:9" ht="12.75" x14ac:dyDescent="0.2">
      <c r="A2" s="45"/>
      <c r="B2" s="45"/>
      <c r="C2" s="45"/>
      <c r="D2" s="45"/>
      <c r="E2" s="45"/>
      <c r="F2" s="45"/>
      <c r="G2" s="45"/>
      <c r="H2" s="45"/>
      <c r="I2" s="45"/>
    </row>
    <row r="3" spans="1:9" s="43" customFormat="1" ht="32.25" customHeight="1" x14ac:dyDescent="0.2">
      <c r="A3" s="267" t="s">
        <v>76</v>
      </c>
      <c r="B3" s="267"/>
      <c r="C3" s="267"/>
      <c r="D3" s="267"/>
      <c r="E3" s="267"/>
      <c r="F3" s="267"/>
      <c r="G3" s="267"/>
      <c r="H3" s="267"/>
      <c r="I3" s="267"/>
    </row>
    <row r="4" spans="1:9" s="43" customFormat="1" ht="18.75" customHeight="1" x14ac:dyDescent="0.2">
      <c r="A4" s="108" t="s">
        <v>134</v>
      </c>
    </row>
    <row r="5" spans="1:9" s="43" customFormat="1" ht="65.25" customHeight="1" x14ac:dyDescent="0.2">
      <c r="A5" s="267" t="s">
        <v>135</v>
      </c>
      <c r="B5" s="267"/>
      <c r="C5" s="267"/>
      <c r="D5" s="267"/>
      <c r="E5" s="267"/>
      <c r="F5" s="267"/>
      <c r="G5" s="267"/>
      <c r="H5" s="267"/>
      <c r="I5" s="267"/>
    </row>
    <row r="6" spans="1:9" s="43" customFormat="1" ht="33" customHeight="1" x14ac:dyDescent="0.2">
      <c r="A6" s="267" t="s">
        <v>168</v>
      </c>
      <c r="B6" s="267"/>
      <c r="C6" s="267"/>
      <c r="D6" s="267"/>
      <c r="E6" s="267"/>
      <c r="F6" s="267"/>
      <c r="G6" s="267"/>
      <c r="H6" s="267"/>
      <c r="I6" s="267"/>
    </row>
    <row r="7" spans="1:9" s="43" customFormat="1" ht="35.25" customHeight="1" x14ac:dyDescent="0.2">
      <c r="A7" s="267" t="s">
        <v>77</v>
      </c>
      <c r="B7" s="267"/>
      <c r="C7" s="267"/>
      <c r="D7" s="267"/>
      <c r="E7" s="267"/>
      <c r="F7" s="267"/>
      <c r="G7" s="267"/>
      <c r="H7" s="267"/>
      <c r="I7" s="267"/>
    </row>
    <row r="8" spans="1:9" s="43" customFormat="1" ht="12.75" x14ac:dyDescent="0.2">
      <c r="A8" s="268" t="s">
        <v>83</v>
      </c>
      <c r="B8" s="268"/>
      <c r="C8" s="268"/>
      <c r="D8" s="268"/>
      <c r="E8" s="268"/>
      <c r="F8" s="268"/>
      <c r="G8" s="268"/>
      <c r="H8" s="268"/>
      <c r="I8" s="268"/>
    </row>
    <row r="9" spans="1:9" s="43" customFormat="1" ht="12.75" x14ac:dyDescent="0.2">
      <c r="A9" s="87"/>
      <c r="B9" s="87"/>
      <c r="C9" s="87"/>
      <c r="D9" s="87"/>
      <c r="E9" s="87"/>
      <c r="F9" s="87"/>
      <c r="G9" s="87"/>
      <c r="H9" s="87"/>
      <c r="I9" s="87"/>
    </row>
    <row r="10" spans="1:9" s="43" customFormat="1" ht="12.75" x14ac:dyDescent="0.2">
      <c r="A10" s="87"/>
      <c r="B10" s="87"/>
      <c r="C10" s="87"/>
      <c r="D10" s="87"/>
      <c r="E10" s="87"/>
      <c r="F10" s="87"/>
      <c r="G10" s="87"/>
      <c r="H10" s="87"/>
      <c r="I10" s="87"/>
    </row>
    <row r="11" spans="1:9" s="43" customFormat="1" ht="13.5" customHeight="1" x14ac:dyDescent="0.2">
      <c r="A11" s="88" t="s">
        <v>89</v>
      </c>
      <c r="B11" s="88"/>
      <c r="D11" s="87"/>
      <c r="F11" s="87"/>
      <c r="G11" s="87"/>
      <c r="H11" s="87"/>
      <c r="I11" s="87"/>
    </row>
    <row r="12" spans="1:9" s="43" customFormat="1" ht="2.25" customHeight="1" x14ac:dyDescent="0.2">
      <c r="A12" s="88"/>
      <c r="B12" s="88"/>
      <c r="D12" s="87"/>
      <c r="F12" s="87"/>
      <c r="G12" s="87"/>
      <c r="H12" s="87"/>
      <c r="I12" s="87"/>
    </row>
    <row r="13" spans="1:9" s="43" customFormat="1" ht="12.75" x14ac:dyDescent="0.2">
      <c r="A13" s="87" t="s">
        <v>84</v>
      </c>
      <c r="B13" s="175">
        <v>44378</v>
      </c>
      <c r="C13" s="87" t="s">
        <v>85</v>
      </c>
      <c r="D13" s="175">
        <v>44742</v>
      </c>
      <c r="E13" s="87"/>
      <c r="F13" s="87"/>
      <c r="G13" s="87"/>
      <c r="H13" s="87"/>
      <c r="I13" s="87"/>
    </row>
    <row r="14" spans="1:9" s="43" customFormat="1" ht="12.75" x14ac:dyDescent="0.2">
      <c r="A14" s="105" t="s">
        <v>110</v>
      </c>
      <c r="B14" s="105"/>
      <c r="C14" s="105"/>
      <c r="D14" s="105"/>
      <c r="E14" s="105"/>
      <c r="F14" s="105"/>
      <c r="G14" s="105"/>
      <c r="H14" s="105"/>
      <c r="I14" s="105"/>
    </row>
    <row r="15" spans="1:9" s="43" customFormat="1" ht="12.75" x14ac:dyDescent="0.2"/>
    <row r="16" spans="1:9" s="43" customFormat="1" ht="15" x14ac:dyDescent="0.25">
      <c r="A16" s="137" t="s">
        <v>136</v>
      </c>
    </row>
    <row r="17" spans="1:13" s="43" customFormat="1" ht="12.75" x14ac:dyDescent="0.2">
      <c r="I17" s="200" t="s">
        <v>15</v>
      </c>
    </row>
    <row r="18" spans="1:13" s="43" customFormat="1" ht="12.75" x14ac:dyDescent="0.2">
      <c r="A18" s="43" t="s">
        <v>78</v>
      </c>
      <c r="I18" s="176">
        <v>328059.09000000003</v>
      </c>
    </row>
    <row r="19" spans="1:13" s="43" customFormat="1" ht="12.75" x14ac:dyDescent="0.2">
      <c r="A19" s="43" t="s">
        <v>79</v>
      </c>
      <c r="I19" s="177">
        <v>-8842.3700000000008</v>
      </c>
    </row>
    <row r="20" spans="1:13" s="43" customFormat="1" ht="12.75" x14ac:dyDescent="0.2">
      <c r="H20" s="62" t="s">
        <v>81</v>
      </c>
      <c r="I20" s="138">
        <f>SUM(I18:I19)</f>
        <v>319216.72000000003</v>
      </c>
    </row>
    <row r="21" spans="1:13" ht="12.75" x14ac:dyDescent="0.2">
      <c r="A21" s="43"/>
      <c r="I21" s="139"/>
      <c r="J21" s="43"/>
    </row>
    <row r="22" spans="1:13" ht="15" x14ac:dyDescent="0.25">
      <c r="A22" s="137" t="s">
        <v>137</v>
      </c>
      <c r="J22" s="43"/>
    </row>
    <row r="23" spans="1:13" s="43" customFormat="1" ht="12.75" x14ac:dyDescent="0.2">
      <c r="I23" s="200" t="s">
        <v>15</v>
      </c>
    </row>
    <row r="24" spans="1:13" s="43" customFormat="1" ht="12.75" x14ac:dyDescent="0.2">
      <c r="A24" s="43" t="s">
        <v>140</v>
      </c>
      <c r="I24" s="176">
        <v>288097.08</v>
      </c>
    </row>
    <row r="25" spans="1:13" s="43" customFormat="1" ht="12.75" x14ac:dyDescent="0.2">
      <c r="I25" s="86"/>
      <c r="J25" s="86"/>
    </row>
    <row r="26" spans="1:13" s="43" customFormat="1" ht="12.75" x14ac:dyDescent="0.2">
      <c r="H26" s="62" t="s">
        <v>80</v>
      </c>
      <c r="I26" s="110">
        <f>SUM(I24:I25)</f>
        <v>288097.08</v>
      </c>
    </row>
    <row r="27" spans="1:13" s="43" customFormat="1" ht="12.75" x14ac:dyDescent="0.2">
      <c r="I27" s="86"/>
    </row>
    <row r="28" spans="1:13" s="43" customFormat="1" ht="12.75" x14ac:dyDescent="0.2">
      <c r="I28" s="86"/>
    </row>
    <row r="29" spans="1:13" s="43" customFormat="1" ht="12.75" x14ac:dyDescent="0.2">
      <c r="H29" s="62" t="s">
        <v>82</v>
      </c>
      <c r="I29" s="109">
        <f>I20-I26</f>
        <v>31119.640000000014</v>
      </c>
      <c r="L29" s="140"/>
    </row>
    <row r="30" spans="1:13" s="43" customFormat="1" ht="39.75" customHeight="1" x14ac:dyDescent="0.2">
      <c r="A30" s="269" t="s">
        <v>139</v>
      </c>
      <c r="B30" s="269"/>
      <c r="C30" s="269"/>
      <c r="D30" s="269"/>
      <c r="E30" s="269"/>
      <c r="F30" s="269"/>
      <c r="G30" s="269"/>
      <c r="H30" s="269"/>
      <c r="I30" s="176">
        <v>36144.83</v>
      </c>
      <c r="J30" s="111" t="s">
        <v>128</v>
      </c>
      <c r="K30"/>
      <c r="L30" s="141"/>
      <c r="M30"/>
    </row>
    <row r="31" spans="1:13" s="43" customFormat="1" ht="12.75" x14ac:dyDescent="0.2">
      <c r="H31" s="63" t="s">
        <v>195</v>
      </c>
      <c r="I31" s="203">
        <f>I29+I30</f>
        <v>67264.470000000016</v>
      </c>
      <c r="J31" s="202">
        <f>IFERROR(I31/$I$26,0)</f>
        <v>0.23347848579374705</v>
      </c>
      <c r="K31" s="45" t="str">
        <f>IF(AND(I31&gt;0,J31&gt;10%),"Surplus must be factored into rate calculation per billing rate policy","Surplus less than 10% of annual operating expenses/(Deficit) can be factored into the rate but is not required")</f>
        <v>Surplus must be factored into rate calculation per billing rate policy</v>
      </c>
    </row>
    <row r="32" spans="1:13" s="43" customFormat="1" ht="12.75" x14ac:dyDescent="0.2">
      <c r="H32" s="62" t="s">
        <v>194</v>
      </c>
      <c r="I32" s="113">
        <f>IF(J31&gt;10%,I26*0.1,0)</f>
        <v>28809.708000000002</v>
      </c>
      <c r="J32" s="112">
        <f>IFERROR((I32/I26),0)</f>
        <v>0.1</v>
      </c>
      <c r="K32" s="45"/>
    </row>
    <row r="33" spans="1:11" s="43" customFormat="1" ht="12.75" x14ac:dyDescent="0.2">
      <c r="H33" s="63" t="s">
        <v>196</v>
      </c>
      <c r="I33" s="203">
        <f>I31-I32</f>
        <v>38454.762000000017</v>
      </c>
    </row>
    <row r="34" spans="1:11" s="43" customFormat="1" ht="12.75" x14ac:dyDescent="0.2">
      <c r="H34" s="63"/>
      <c r="I34" s="199"/>
    </row>
    <row r="35" spans="1:11" s="43" customFormat="1" ht="12.75" x14ac:dyDescent="0.2">
      <c r="H35" s="62" t="s">
        <v>197</v>
      </c>
      <c r="I35" s="178">
        <v>60000</v>
      </c>
      <c r="J35" s="112">
        <f>IFERROR((I35/'.1 Cover'!$J$43),0)</f>
        <v>0.69764555148842655</v>
      </c>
    </row>
    <row r="36" spans="1:11" s="43" customFormat="1" ht="12.75" x14ac:dyDescent="0.2">
      <c r="H36" s="63"/>
      <c r="I36" s="199"/>
    </row>
    <row r="37" spans="1:11" s="43" customFormat="1" ht="12.75" x14ac:dyDescent="0.2">
      <c r="H37" s="63" t="s">
        <v>198</v>
      </c>
      <c r="I37" s="201">
        <f>IF(I33&gt;I35,I33-I35,IF(I31&lt;0,I33,I33-I33))</f>
        <v>0</v>
      </c>
      <c r="J37" s="202">
        <f>IFERROR((I37/'.1 Cover'!$J$43),0)</f>
        <v>0</v>
      </c>
      <c r="K37" s="45" t="str">
        <f>IF(AND(I37&gt;0,J37&gt;10%),"Surplus must be factored into rate calculation per billing rate policy","Surplus less than 10% of annual operating expenses/(Deficit) can be factored into the rate but is not required")</f>
        <v>Surplus less than 10% of annual operating expenses/(Deficit) can be factored into the rate but is not required</v>
      </c>
    </row>
    <row r="38" spans="1:11" s="43" customFormat="1" ht="12.75" x14ac:dyDescent="0.2">
      <c r="H38" s="63"/>
      <c r="I38" s="106"/>
    </row>
    <row r="39" spans="1:11" ht="12.75" x14ac:dyDescent="0.2">
      <c r="H39" s="62" t="s">
        <v>129</v>
      </c>
      <c r="I39" s="179">
        <v>2</v>
      </c>
    </row>
    <row r="40" spans="1:11" ht="12.75" x14ac:dyDescent="0.2">
      <c r="H40" s="62" t="s">
        <v>200</v>
      </c>
      <c r="I40" s="114">
        <f>'.1 Cover'!J45</f>
        <v>2912</v>
      </c>
    </row>
    <row r="41" spans="1:11" ht="12.75" x14ac:dyDescent="0.2">
      <c r="H41" s="17" t="s">
        <v>201</v>
      </c>
      <c r="I41" s="205">
        <f>I39*I40</f>
        <v>5824</v>
      </c>
    </row>
    <row r="42" spans="1:11" ht="12.75" x14ac:dyDescent="0.2">
      <c r="H42" s="17"/>
      <c r="I42" s="204"/>
    </row>
    <row r="43" spans="1:11" ht="12.75" x14ac:dyDescent="0.2">
      <c r="H43" s="17" t="s">
        <v>130</v>
      </c>
      <c r="I43" s="188">
        <f>IFERROR(I37/I41,0)</f>
        <v>0</v>
      </c>
    </row>
    <row r="44" spans="1:11" ht="12.75" x14ac:dyDescent="0.2">
      <c r="H44" s="17" t="s">
        <v>199</v>
      </c>
      <c r="I44" s="183">
        <v>1</v>
      </c>
      <c r="J44" s="208" t="s">
        <v>206</v>
      </c>
    </row>
    <row r="45" spans="1:11" ht="13.5" thickBot="1" x14ac:dyDescent="0.25">
      <c r="H45" s="17" t="s">
        <v>203</v>
      </c>
      <c r="I45" s="184">
        <f>ROUND((I43*I44),2)</f>
        <v>0</v>
      </c>
      <c r="J45" s="45" t="s">
        <v>202</v>
      </c>
    </row>
    <row r="46" spans="1:11" ht="12.75" thickTop="1" thickBot="1" x14ac:dyDescent="0.25"/>
    <row r="47" spans="1:11" ht="13.5" thickBot="1" x14ac:dyDescent="0.25">
      <c r="A47" s="180" t="s">
        <v>131</v>
      </c>
      <c r="B47" s="181"/>
      <c r="C47" s="181"/>
      <c r="D47" s="181"/>
      <c r="E47" s="181"/>
      <c r="F47" s="181"/>
      <c r="G47" s="181"/>
      <c r="H47" s="181"/>
      <c r="I47" s="182"/>
    </row>
    <row r="48" spans="1:11" ht="11.25" customHeight="1" x14ac:dyDescent="0.2">
      <c r="A48" s="258" t="s">
        <v>132</v>
      </c>
      <c r="B48" s="259"/>
      <c r="C48" s="259"/>
      <c r="D48" s="259"/>
      <c r="E48" s="259"/>
      <c r="F48" s="259"/>
      <c r="G48" s="259"/>
      <c r="H48" s="259"/>
      <c r="I48" s="260"/>
    </row>
    <row r="49" spans="1:10" x14ac:dyDescent="0.2">
      <c r="A49" s="261"/>
      <c r="B49" s="262"/>
      <c r="C49" s="262"/>
      <c r="D49" s="262"/>
      <c r="E49" s="262"/>
      <c r="F49" s="262"/>
      <c r="G49" s="262"/>
      <c r="H49" s="262"/>
      <c r="I49" s="263"/>
    </row>
    <row r="50" spans="1:10" x14ac:dyDescent="0.2">
      <c r="A50" s="261"/>
      <c r="B50" s="262"/>
      <c r="C50" s="262"/>
      <c r="D50" s="262"/>
      <c r="E50" s="262"/>
      <c r="F50" s="262"/>
      <c r="G50" s="262"/>
      <c r="H50" s="262"/>
      <c r="I50" s="263"/>
    </row>
    <row r="51" spans="1:10" x14ac:dyDescent="0.2">
      <c r="A51" s="261"/>
      <c r="B51" s="262"/>
      <c r="C51" s="262"/>
      <c r="D51" s="262"/>
      <c r="E51" s="262"/>
      <c r="F51" s="262"/>
      <c r="G51" s="262"/>
      <c r="H51" s="262"/>
      <c r="I51" s="263"/>
      <c r="J51" s="208" t="s">
        <v>206</v>
      </c>
    </row>
    <row r="52" spans="1:10" x14ac:dyDescent="0.2">
      <c r="A52" s="261"/>
      <c r="B52" s="262"/>
      <c r="C52" s="262"/>
      <c r="D52" s="262"/>
      <c r="E52" s="262"/>
      <c r="F52" s="262"/>
      <c r="G52" s="262"/>
      <c r="H52" s="262"/>
      <c r="I52" s="263"/>
    </row>
    <row r="53" spans="1:10" x14ac:dyDescent="0.2">
      <c r="A53" s="261"/>
      <c r="B53" s="262"/>
      <c r="C53" s="262"/>
      <c r="D53" s="262"/>
      <c r="E53" s="262"/>
      <c r="F53" s="262"/>
      <c r="G53" s="262"/>
      <c r="H53" s="262"/>
      <c r="I53" s="263"/>
    </row>
    <row r="54" spans="1:10" x14ac:dyDescent="0.2">
      <c r="A54" s="261"/>
      <c r="B54" s="262"/>
      <c r="C54" s="262"/>
      <c r="D54" s="262"/>
      <c r="E54" s="262"/>
      <c r="F54" s="262"/>
      <c r="G54" s="262"/>
      <c r="H54" s="262"/>
      <c r="I54" s="263"/>
    </row>
    <row r="55" spans="1:10" ht="12" thickBot="1" x14ac:dyDescent="0.25">
      <c r="A55" s="264"/>
      <c r="B55" s="265"/>
      <c r="C55" s="265"/>
      <c r="D55" s="265"/>
      <c r="E55" s="265"/>
      <c r="F55" s="265"/>
      <c r="G55" s="265"/>
      <c r="H55" s="265"/>
      <c r="I55" s="266"/>
    </row>
  </sheetData>
  <mergeCells count="7">
    <mergeCell ref="A48:I55"/>
    <mergeCell ref="A3:I3"/>
    <mergeCell ref="A5:I5"/>
    <mergeCell ref="A7:I7"/>
    <mergeCell ref="A8:I8"/>
    <mergeCell ref="A6:I6"/>
    <mergeCell ref="A30:H30"/>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Cover</vt:lpstr>
      <vt:lpstr>.2 Direct &amp; Indirect Personnel</vt:lpstr>
      <vt:lpstr>.3 Direct &amp; Indirect Costs</vt:lpstr>
      <vt:lpstr>.4 Equipment Use Fee (Indirect)</vt:lpstr>
      <vt:lpstr>.5 Lookback Analysis</vt:lpstr>
      <vt:lpstr>'.1 Cover'!Print_Area</vt:lpstr>
      <vt:lpstr>'.2 Direct &amp; Indirect Personnel'!Print_Area</vt:lpstr>
      <vt:lpstr>'.3 Direct &amp; Indirect Costs'!Print_Area</vt:lpstr>
      <vt:lpstr>'.5 Lookback Analysis'!Print_Area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2022-12-01T16:19:40Z</cp:lastPrinted>
  <dcterms:created xsi:type="dcterms:W3CDTF">2007-10-18T17:01:47Z</dcterms:created>
  <dcterms:modified xsi:type="dcterms:W3CDTF">2025-02-28T21:47:34Z</dcterms:modified>
</cp:coreProperties>
</file>