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es.msu.edu\ctlr\Share\FINANAL\Revolving\Billing Rates\BILLING RATE POLICY - GUIDANCE - TEMPLATES\Sample Templates\Revised 2025\"/>
    </mc:Choice>
  </mc:AlternateContent>
  <xr:revisionPtr revIDLastSave="0" documentId="13_ncr:1_{7A3E25D7-9C60-414D-8EC3-30CC776A724B}" xr6:coauthVersionLast="47" xr6:coauthVersionMax="47" xr10:uidLastSave="{00000000-0000-0000-0000-000000000000}"/>
  <bookViews>
    <workbookView xWindow="28680" yWindow="-120" windowWidth="29040" windowHeight="15720" tabRatio="793" activeTab="5" xr2:uid="{00000000-000D-0000-FFFF-FFFF00000000}"/>
  </bookViews>
  <sheets>
    <sheet name=".1 Cover" sheetId="5" r:id="rId1"/>
    <sheet name=".2 Direct &amp; Indirect Personnel" sheetId="1" r:id="rId2"/>
    <sheet name=".3 Direct Materials" sheetId="6" r:id="rId3"/>
    <sheet name=".4 Equipment Use Fee (Indirect)" sheetId="3" r:id="rId4"/>
    <sheet name="5 Other Direct &amp; Indirect Costs" sheetId="2" r:id="rId5"/>
    <sheet name=".6 Lookback Analysis" sheetId="9" r:id="rId6"/>
  </sheets>
  <definedNames>
    <definedName name="_xlnm.Print_Area" localSheetId="0">'.1 Cover'!$A$1:$K$51</definedName>
    <definedName name="_xlnm.Print_Area" localSheetId="1">'.2 Direct &amp; Indirect Personnel'!$A$1:$I$66</definedName>
    <definedName name="_xlnm.Print_Area" localSheetId="2">'.3 Direct Materials'!$A$1:$B$16</definedName>
    <definedName name="_xlnm.Print_Area" localSheetId="5">'.6 Lookback Analysis'!$A$1:$I$32</definedName>
    <definedName name="_xlnm.Print_Area" localSheetId="4">'5 Other Direct &amp; Indirect Costs'!$A$1:$I$40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9" l="1"/>
  <c r="I32" i="9"/>
  <c r="J31" i="9"/>
  <c r="C12" i="5" l="1"/>
  <c r="C13" i="5" s="1"/>
  <c r="G37" i="2"/>
  <c r="A79" i="1"/>
  <c r="B79" i="1" s="1"/>
  <c r="D79" i="1" s="1"/>
  <c r="E79" i="1" s="1"/>
  <c r="A78" i="1"/>
  <c r="B78" i="1" s="1"/>
  <c r="D78" i="1" s="1"/>
  <c r="E78" i="1" s="1"/>
  <c r="A77" i="1"/>
  <c r="B77" i="1" s="1"/>
  <c r="D77" i="1" s="1"/>
  <c r="E77" i="1" s="1"/>
  <c r="A76" i="1"/>
  <c r="B76" i="1" s="1"/>
  <c r="D76" i="1" s="1"/>
  <c r="E76" i="1" s="1"/>
  <c r="A75" i="1"/>
  <c r="B75" i="1" s="1"/>
  <c r="D75" i="1" s="1"/>
  <c r="E75" i="1" s="1"/>
  <c r="A74" i="1"/>
  <c r="B74" i="1" s="1"/>
  <c r="F13" i="3" l="1"/>
  <c r="F12" i="3"/>
  <c r="F11" i="3"/>
  <c r="F10" i="3"/>
  <c r="F9" i="3"/>
  <c r="H13" i="3"/>
  <c r="I13" i="3" s="1"/>
  <c r="K13" i="3" s="1"/>
  <c r="H12" i="3"/>
  <c r="I12" i="3" s="1"/>
  <c r="K12" i="3" s="1"/>
  <c r="H11" i="3"/>
  <c r="I11" i="3" s="1"/>
  <c r="K11" i="3" s="1"/>
  <c r="H10" i="3"/>
  <c r="I10" i="3" s="1"/>
  <c r="K10" i="3" s="1"/>
  <c r="H9" i="3"/>
  <c r="I9" i="3" s="1"/>
  <c r="K9" i="3" s="1"/>
  <c r="K16" i="3" l="1"/>
  <c r="I26" i="9" l="1"/>
  <c r="I20" i="9"/>
  <c r="G25" i="2"/>
  <c r="G26" i="2"/>
  <c r="G27" i="2"/>
  <c r="G28" i="2"/>
  <c r="G29" i="2"/>
  <c r="G24" i="2"/>
  <c r="J39" i="5" s="1"/>
  <c r="K25" i="3"/>
  <c r="K24" i="3"/>
  <c r="K23" i="3"/>
  <c r="G55" i="1"/>
  <c r="G47" i="1"/>
  <c r="G46" i="1"/>
  <c r="G21" i="1"/>
  <c r="G13" i="1"/>
  <c r="G12" i="1"/>
  <c r="H12" i="1" s="1"/>
  <c r="B14" i="6"/>
  <c r="J29" i="5" s="1"/>
  <c r="J31" i="5" s="1"/>
  <c r="E14" i="2"/>
  <c r="J38" i="5"/>
  <c r="K28" i="3" l="1"/>
  <c r="K37" i="3" s="1"/>
  <c r="J37" i="5" s="1"/>
  <c r="I29" i="9"/>
  <c r="I31" i="9" s="1"/>
  <c r="H47" i="1"/>
  <c r="H55" i="1"/>
  <c r="H58" i="1" s="1"/>
  <c r="H13" i="1"/>
  <c r="H16" i="1"/>
  <c r="H21" i="1"/>
  <c r="H46" i="1"/>
  <c r="J47" i="5"/>
  <c r="H50" i="1" l="1"/>
  <c r="H24" i="1"/>
  <c r="H28" i="1" s="1"/>
  <c r="J35" i="5" s="1"/>
  <c r="H62" i="1" l="1"/>
  <c r="J36" i="5" s="1"/>
  <c r="J41" i="5" s="1"/>
  <c r="J35" i="9" l="1"/>
  <c r="K31" i="9" l="1"/>
  <c r="I33" i="9" l="1"/>
  <c r="I37" i="9" s="1"/>
  <c r="D74" i="1"/>
  <c r="E74" i="1" s="1"/>
  <c r="J37" i="9" l="1"/>
  <c r="K37" i="9" s="1"/>
  <c r="I39" i="9"/>
  <c r="J43" i="5" s="1"/>
  <c r="J45" i="5" s="1"/>
  <c r="J49" i="5" s="1"/>
  <c r="E23" i="5" s="1"/>
  <c r="E19" i="5" l="1"/>
  <c r="E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13" authorId="0" shapeId="0" xr:uid="{45D4D848-2C42-432F-A7D4-48108CED55A5}">
      <text>
        <r>
          <rPr>
            <b/>
            <sz val="9"/>
            <color indexed="81"/>
            <rFont val="Tahoma"/>
            <family val="2"/>
          </rPr>
          <t>Rudy Rendon:</t>
        </r>
        <r>
          <rPr>
            <sz val="9"/>
            <color indexed="81"/>
            <rFont val="Tahoma"/>
            <family val="2"/>
          </rPr>
          <t xml:space="preserve">
Effective date can be altered. Discuss with rate reviewer if desired to have different from approval letter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73" authorId="0" shapeId="0" xr:uid="{CB2FD986-C85D-40B8-B2CC-ED37AB8BDD1F}">
      <text>
        <r>
          <rPr>
            <b/>
            <sz val="9"/>
            <color indexed="81"/>
            <rFont val="Tahoma"/>
            <family val="2"/>
          </rPr>
          <t>Rudy Rendon:</t>
        </r>
        <r>
          <rPr>
            <sz val="9"/>
            <color indexed="81"/>
            <rFont val="Tahoma"/>
            <family val="2"/>
          </rPr>
          <t xml:space="preserve">
Could be &lt; 100% in the event a portion of an employee's salary is covered by other billing rates and/or government grants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Mossner, Christine</author>
  </authors>
  <commentList>
    <comment ref="I19" authorId="0" shapeId="0" xr:uid="{AE8650F9-501A-4A43-B15B-A05D7D68B4EA}">
      <text>
        <r>
          <rPr>
            <b/>
            <sz val="9"/>
            <color indexed="81"/>
            <rFont val="Tahoma"/>
            <family val="2"/>
          </rPr>
          <t>Mossner, Christine:</t>
        </r>
        <r>
          <rPr>
            <sz val="9"/>
            <color indexed="81"/>
            <rFont val="Tahoma"/>
            <family val="2"/>
          </rPr>
          <t xml:space="preserve">
Admin Fee Charged 6470</t>
        </r>
      </text>
    </comment>
  </commentList>
</comments>
</file>

<file path=xl/sharedStrings.xml><?xml version="1.0" encoding="utf-8"?>
<sst xmlns="http://schemas.openxmlformats.org/spreadsheetml/2006/main" count="276" uniqueCount="205">
  <si>
    <t>Employee</t>
  </si>
  <si>
    <t>Annual Salary &amp; Fringe</t>
  </si>
  <si>
    <t>Employee Title</t>
  </si>
  <si>
    <t>Description</t>
  </si>
  <si>
    <t>DIRECT PERSONNEL COSTS:</t>
  </si>
  <si>
    <t>Producer/Dir.</t>
  </si>
  <si>
    <t>SALARY EMPLOYEES:</t>
  </si>
  <si>
    <t>HOURLY EMPLOYEES:</t>
  </si>
  <si>
    <t>Hourly Rate</t>
  </si>
  <si>
    <t>TOTAL - SALARY PERSONNEL</t>
  </si>
  <si>
    <t>TOTAL - HOURLY PERSONNEL</t>
  </si>
  <si>
    <t>Employee #1</t>
  </si>
  <si>
    <t>Employee #2</t>
  </si>
  <si>
    <t>Programmer</t>
  </si>
  <si>
    <t>Admin Asst</t>
  </si>
  <si>
    <t>Amount</t>
  </si>
  <si>
    <t>Paper</t>
  </si>
  <si>
    <t>Original Cost</t>
  </si>
  <si>
    <t>Estimated Life</t>
  </si>
  <si>
    <t>Annual Cost</t>
  </si>
  <si>
    <t>PAGE 3</t>
  </si>
  <si>
    <t>PAGE 4</t>
  </si>
  <si>
    <t>Employee #3 (on-call)</t>
  </si>
  <si>
    <t>Employee Name</t>
  </si>
  <si>
    <t>NOTE:  Please list only those employees that will be working on projects/providing services that will be performing the work to be billed for.</t>
  </si>
  <si>
    <t>External</t>
  </si>
  <si>
    <t>per (unit)</t>
  </si>
  <si>
    <t>SERVICE CENTER BILLING RATE APPROVAL REQUEST</t>
  </si>
  <si>
    <t>Department:</t>
  </si>
  <si>
    <t>Contact Person (name &amp; #):</t>
  </si>
  <si>
    <t>INDIRECT PERSONNEL COSTS:</t>
  </si>
  <si>
    <t>Secretary</t>
  </si>
  <si>
    <t>Anticipated Hours Worked</t>
  </si>
  <si>
    <t>XT123456</t>
  </si>
  <si>
    <t>Department of Cost Accounting</t>
  </si>
  <si>
    <t>BILLING RATE DOCUMENTATION SUMMARY</t>
  </si>
  <si>
    <t>Employee #4</t>
  </si>
  <si>
    <t>Employee #5</t>
  </si>
  <si>
    <t>Employee #6 (on-call)</t>
  </si>
  <si>
    <t>Student</t>
  </si>
  <si>
    <t>Tech Support</t>
  </si>
  <si>
    <t>DIRECT MATERIALS</t>
  </si>
  <si>
    <t>Printer (solely for testing)</t>
  </si>
  <si>
    <t>Microscope</t>
  </si>
  <si>
    <t>Autoclaves</t>
  </si>
  <si>
    <t>Analysis Software</t>
  </si>
  <si>
    <t>EQUIPMENT OPERATIONAL EXPENSES</t>
  </si>
  <si>
    <t>NOTE:  Please include only those other direct expenses that will be directly attributable to the service.</t>
  </si>
  <si>
    <t>User Groups:</t>
  </si>
  <si>
    <t>DIRECT PERSONNEL (SEE PAGE/TAB 2 FOR DETAILS)</t>
  </si>
  <si>
    <t>DIRECT MATERIALS (SEE PAGE/TAB 3 FOR DETAILS)</t>
  </si>
  <si>
    <t>EQUIPMENT USE FEE (INDIRECT)</t>
  </si>
  <si>
    <t>Cost Related to This Service</t>
  </si>
  <si>
    <t>Lab Coats and Clean Room Supplies</t>
  </si>
  <si>
    <t xml:space="preserve">Telephone Access Charges </t>
  </si>
  <si>
    <t>Office Wide Shipping Costs (net of test results above)</t>
  </si>
  <si>
    <t>Office printer/scanner</t>
  </si>
  <si>
    <t>Total Equipment Operational Costs</t>
  </si>
  <si>
    <t>NOTE:  Costs that support the whole department, but can't be tracked/charged by the specific service (and therefore must be allocated)</t>
  </si>
  <si>
    <t>Equipment (costing &lt; $5,000 each and not included elsewhere)</t>
  </si>
  <si>
    <t>Annual Amount</t>
  </si>
  <si>
    <t>Allocation Method for % Related to this Service:</t>
  </si>
  <si>
    <t>OTHER DIRECT COSTS:</t>
  </si>
  <si>
    <t>OTHER INDIRECT COSTS:</t>
  </si>
  <si>
    <t>PAGE 2</t>
  </si>
  <si>
    <t xml:space="preserve">NOTE: Include only the capitalized equipment (costing &gt; or =  $5,000) used in providing goods/services which are charged to the </t>
  </si>
  <si>
    <t>SALARY EMPLOYEES</t>
  </si>
  <si>
    <t>HOURLY EMPLOYEES</t>
  </si>
  <si>
    <t>OTHER DIRECT COSTS (SEE PAGE/TAB 5 FOR DETAILS)</t>
  </si>
  <si>
    <t>INDIRECT PERSONNEL (SEE PAGE/TAB 2 FOR DETAILS)</t>
  </si>
  <si>
    <t>EQUIPMENT USE (SEE TAB/PAGE 4 FOR DETAILS)</t>
  </si>
  <si>
    <t>OTHER INDIRECT COSTS (SEE TAB/PAGE 5 FOR DETAILS)</t>
  </si>
  <si>
    <t>TOTAL DIRECT COSTS</t>
  </si>
  <si>
    <t>TOTAL INDIRECT COSTS</t>
  </si>
  <si>
    <t>ANNUAL AMOUNT</t>
  </si>
  <si>
    <t>X</t>
  </si>
  <si>
    <t>Explanation (if higher):</t>
  </si>
  <si>
    <t>PAGE 1</t>
  </si>
  <si>
    <t>INSTRUCTIONS:</t>
  </si>
  <si>
    <t>PAGE 5</t>
  </si>
  <si>
    <t>First Time Request or Update/Renewal of Rates:</t>
  </si>
  <si>
    <t>LOOKBACK ANALYSIS (REQUIRED FOR UPDATED/RENEWED RATES)</t>
  </si>
  <si>
    <t>+/- Cumulative Prior Period Deficit or Surplus (NA for NEW Rates.  SEE TAB/PAGE 6)</t>
  </si>
  <si>
    <t>Page 6</t>
  </si>
  <si>
    <r>
      <rPr>
        <b/>
        <sz val="10"/>
        <rFont val="Calibri"/>
        <family val="2"/>
      </rPr>
      <t>Revenues that exceed the actual costs of a service can not be used to subsidize other services</t>
    </r>
    <r>
      <rPr>
        <sz val="10"/>
        <rFont val="Calibri"/>
        <family val="2"/>
      </rPr>
      <t xml:space="preserve"> of the Service Center (except for external users).</t>
    </r>
  </si>
  <si>
    <r>
      <t xml:space="preserve">It is the </t>
    </r>
    <r>
      <rPr>
        <b/>
        <sz val="10"/>
        <rFont val="Calibri"/>
        <family val="2"/>
      </rPr>
      <t xml:space="preserve">department’s responsibility </t>
    </r>
    <r>
      <rPr>
        <sz val="10"/>
        <rFont val="Calibri"/>
        <family val="2"/>
      </rPr>
      <t>to maintain operating statements to support calculations used to develop and review rates.</t>
    </r>
  </si>
  <si>
    <t>Prior Year Revenue for this Service</t>
  </si>
  <si>
    <t xml:space="preserve">Less "markup" for External Users </t>
  </si>
  <si>
    <t>NET COSTS OF PROVIDING THE SERVICE IN PRIOR PERIOD</t>
  </si>
  <si>
    <t>NET REVENUE GENERATED FOR COST RECOVERY</t>
  </si>
  <si>
    <t>PRIOR PERIOD NET (REVENUE LESS EXPENSES OR COSTS)</t>
  </si>
  <si>
    <t xml:space="preserve">Annual review is encouraged, but at least biennially (every 2 years) is required.  </t>
  </si>
  <si>
    <t>From:</t>
  </si>
  <si>
    <t>To:</t>
  </si>
  <si>
    <t>Time Period Used for Lookback</t>
  </si>
  <si>
    <t>Testing of Lab Samples</t>
  </si>
  <si>
    <t>Renewal</t>
  </si>
  <si>
    <t>Rate Effective Date:</t>
  </si>
  <si>
    <t>***Fringe %</t>
  </si>
  <si>
    <t xml:space="preserve">http://www.ctlr.msu.edu/copayroll/Fringes.aspx </t>
  </si>
  <si>
    <r>
      <t xml:space="preserve">E-mail completed workbook or questions to </t>
    </r>
    <r>
      <rPr>
        <b/>
        <u/>
        <sz val="10"/>
        <color indexed="12"/>
        <rFont val="Calibri"/>
        <family val="2"/>
      </rPr>
      <t>billing.rates@ctlr.msu.edu</t>
    </r>
  </si>
  <si>
    <t>% Related to this Service</t>
  </si>
  <si>
    <t xml:space="preserve">NOTE: ONLY THE PORTION OF THE LABOR AND FRINGE COSTS THAT ARE AN EXPENSE TO THE REVOLVING ACCOUNT MAY BE INCLUDED IN THE RATES.  </t>
  </si>
  <si>
    <t xml:space="preserve">IF A SALARIED EMPLOYEE IS PAID ON A GENERAL FUND OR GRANT ACCOUNT, BUT PERFORMS BILLABLE SERVICE WORK, A COST REDISTRIBUTION SHOULD </t>
  </si>
  <si>
    <t xml:space="preserve">BE PROCESSED IN SAP (AND AN EFFORT REPORT SHOULD BE PREPARED IF EFFECTING A GRANT ACCOUNT) TO MOVE THE APPROPRIATE % OF THAT PERSON'S </t>
  </si>
  <si>
    <t>PAY TO THE REVOLVING ACCOUNT.  FOR HOURLY EMPLOYEES, SELECT THE REVOLVING ACCOUNT FOR HOURS SPENT ON THIS SERVICE WHEN PROCESSING PAYROLL.</t>
  </si>
  <si>
    <t>% Effort on This Service/Acct**</t>
  </si>
  <si>
    <t>Annual Pay Per Person *</t>
  </si>
  <si>
    <t>Cost Related to This Service/Acct</t>
  </si>
  <si>
    <t>Annual Labor and Fringe</t>
  </si>
  <si>
    <t>* Annual pay may be an estimate for the upcoming year or the actual pay for the prior year.</t>
  </si>
  <si>
    <t>**  Effort is the percentage of time expected to be spent providing this service or in support of this service.  Remember that these costs need to be recorded on the revolving account for this service.</t>
  </si>
  <si>
    <t xml:space="preserve">*** Fringe rates can be found at </t>
  </si>
  <si>
    <t>or use the actual fringe costs shown on ledgers.</t>
  </si>
  <si>
    <t>Complete the supporting tabs to compile costs of providing this service/testing.  Summarize the totals from other tabs in the  summary below, and fill in the desired rates for each user group.  Text in green needs to be updated (or added to).  ALL COSTS INCLUDED IN THIS ANALYSIS SHOULD BE EXPENSES ON THE REVOLVING ACCOUNT NAMED ABOVE.</t>
  </si>
  <si>
    <t>ALL INFORMATION BELOW SHOULD TIE DIRECTLY TO OPERATING STATEMENTS FOR THE PERIOD USED.</t>
  </si>
  <si>
    <t>SUMMARY OF ANNUAL COSTS OF GOODS SOLD</t>
  </si>
  <si>
    <t>SUMMARY OF ANNUAL OPERATIONAL/OVERHEAD COST</t>
  </si>
  <si>
    <t>Cost per Year Related to Purchase of Inventory</t>
  </si>
  <si>
    <t>Markup %:</t>
  </si>
  <si>
    <t>TOTAL OPERATIONAL/OVERHEAD COSTS, NET OF CUMULATIVE SURPLUS (DEFICIT) FOR THIS SERVICE</t>
  </si>
  <si>
    <t>COST OF GOODS AVAILABLE FOR RESALE</t>
  </si>
  <si>
    <t>MARKUP ON COST OF GOODS TO COVER OPERATIONAL/OVERHEAD COSTS</t>
  </si>
  <si>
    <t>Costs charged to the revolving account that are specifically identifiable with relative ease and high degree of accuracy. These are the annual costs of items available for resale.</t>
  </si>
  <si>
    <t>Joe Spartan  4-5678</t>
  </si>
  <si>
    <t>or contact Financial Analysis at 355-5029 with questions.</t>
  </si>
  <si>
    <t>KFS Object &amp; Description</t>
  </si>
  <si>
    <t>6428 - Beakers</t>
  </si>
  <si>
    <t>6428 - Water Bottles</t>
  </si>
  <si>
    <t>6428 - T-shirts</t>
  </si>
  <si>
    <t>6428 - Batteries</t>
  </si>
  <si>
    <t>6428 - Sweatshirts</t>
  </si>
  <si>
    <t>Asset Tag #</t>
  </si>
  <si>
    <t>XXXXXXX</t>
  </si>
  <si>
    <t>Purchaser Account #</t>
  </si>
  <si>
    <t>6235 - Maintenance contracts on Above Equip (per year)</t>
  </si>
  <si>
    <t>6428 - Ink Cartridges (for testing printer)</t>
  </si>
  <si>
    <t>6428 - Toner for Office printer/scanner</t>
  </si>
  <si>
    <t>6489 - Contracted Services (expert testers)</t>
  </si>
  <si>
    <t>6490 - Repairs and Maintenance (other than equip)</t>
  </si>
  <si>
    <t>6560 - Rental of lab space for this test only</t>
  </si>
  <si>
    <t>6555 - Shipping costs (for sending Test Results Only)</t>
  </si>
  <si>
    <t>6428 - Equipment (costing &lt; $5,000)</t>
  </si>
  <si>
    <t>% of Annual Operating Expenses</t>
  </si>
  <si>
    <t>Departmental Notes/Documentation</t>
  </si>
  <si>
    <t>Example notes include decision on exclusion of deficit from billing rate, decision to factor 100% or 90% of surplus into billing rate, determination of anticipated capital needs, etc.</t>
  </si>
  <si>
    <t>FUND BALANCE AS OF BEGINNING OF FISCAL YEAR PRIOR USED FOR LOOKBACK (Balance prior to adding CY net income)</t>
  </si>
  <si>
    <r>
      <t>All formula fields throughout this workbook are in</t>
    </r>
    <r>
      <rPr>
        <sz val="14"/>
        <color rgb="FF0070C0"/>
        <rFont val="Calibri"/>
        <family val="2"/>
        <scheme val="minor"/>
      </rPr>
      <t xml:space="preserve"> BLUE FONT.  </t>
    </r>
  </si>
  <si>
    <t>Surplus should not exceed 60 days of working capital or 10% of annual expenses</t>
  </si>
  <si>
    <r>
      <rPr>
        <b/>
        <sz val="10"/>
        <rFont val="Calibri"/>
        <family val="2"/>
      </rPr>
      <t xml:space="preserve">Surpluses or deficits should be used to adjust future billing rates or be credited back to users </t>
    </r>
    <r>
      <rPr>
        <sz val="10"/>
        <rFont val="Calibri"/>
        <family val="2"/>
      </rPr>
      <t>(as described in i).  This effort can exclude the balance created on external customers, so long as these surpluses can be documented.</t>
    </r>
    <r>
      <rPr>
        <sz val="10"/>
        <rFont val="Calibri"/>
        <family val="2"/>
        <scheme val="minor"/>
      </rPr>
      <t xml:space="preserve"> Deficits can be passed on consideration if reasoning is documented. Surpluses can be carried forward if they are less than 60 days of working capital and 10% of annual expenses.</t>
    </r>
  </si>
  <si>
    <t>REVENUE - Prior Period (most recent fiscal year - up to 2 fiscal years if have know anomalies)</t>
  </si>
  <si>
    <t>EXPENSES OR COSTS - Prior Period (most recent fiscal year - up to 2 fiscal years if have know anomalies)</t>
  </si>
  <si>
    <t>Total Expenses Incurred for Performing this Service in Prior Year</t>
  </si>
  <si>
    <t>GEN</t>
  </si>
  <si>
    <t>Description of Service:</t>
  </si>
  <si>
    <t>Title of Service:</t>
  </si>
  <si>
    <t>Description of the testing to be performed.</t>
  </si>
  <si>
    <t>All items highlighted light orange are manually entered by the department.</t>
  </si>
  <si>
    <t>DIRECT PERSONNEL COSTS: Level of Effort and Billable Hours Determination Documentation</t>
  </si>
  <si>
    <r>
      <rPr>
        <b/>
        <u/>
        <sz val="8"/>
        <rFont val="Arial"/>
        <family val="2"/>
      </rPr>
      <t>LOE Example Language:</t>
    </r>
    <r>
      <rPr>
        <sz val="8"/>
        <rFont val="Arial"/>
        <family val="2"/>
      </rPr>
      <t xml:space="preserve"> LOE determined based on manager input and historical data ; LOE obtained from CGA's reporting site ; etc.</t>
    </r>
  </si>
  <si>
    <t>INDIRECT PERSONNEL COSTS: Level of Effort and Billable Hours Determination Documentation</t>
  </si>
  <si>
    <r>
      <rPr>
        <b/>
        <u/>
        <sz val="8"/>
        <rFont val="Calibri"/>
        <family val="2"/>
        <scheme val="minor"/>
      </rPr>
      <t>Example Language:</t>
    </r>
    <r>
      <rPr>
        <sz val="8"/>
        <rFont val="Calibri"/>
        <family val="2"/>
        <scheme val="minor"/>
      </rPr>
      <t xml:space="preserve"> Prevailing Market Price (could also be to fund other dept. activities or build reserves; make sure it at least covers the automatic charge for external users [26%  for DY; 2% for DS &amp; XT])</t>
    </r>
  </si>
  <si>
    <t>Submission Date:</t>
  </si>
  <si>
    <t>Approval Letter Date:</t>
  </si>
  <si>
    <t>Template: Price List and Markup Calculation</t>
  </si>
  <si>
    <t>In Service Date</t>
  </si>
  <si>
    <t>Used Life</t>
  </si>
  <si>
    <t>Remaining Life</t>
  </si>
  <si>
    <t>Total Equipment Depreciation Cost</t>
  </si>
  <si>
    <t>EQUIPMENT DEPRECIATION COST ANALYSIS</t>
  </si>
  <si>
    <r>
      <t xml:space="preserve">Federal grants and that were </t>
    </r>
    <r>
      <rPr>
        <b/>
        <u/>
        <sz val="8"/>
        <rFont val="Arial"/>
        <family val="2"/>
      </rPr>
      <t>originally purchased with non-Federal and non-General Fund monies.</t>
    </r>
  </si>
  <si>
    <r>
      <rPr>
        <b/>
        <sz val="10"/>
        <rFont val="Calibri"/>
        <family val="2"/>
        <scheme val="minor"/>
      </rPr>
      <t>The department can figure in anticipated capital needs</t>
    </r>
    <r>
      <rPr>
        <sz val="10"/>
        <rFont val="Calibri"/>
        <family val="2"/>
        <scheme val="minor"/>
      </rPr>
      <t xml:space="preserve"> within the next two years when considering inclusion of the cumulative surplus/deficit impact into the billing rates.</t>
    </r>
  </si>
  <si>
    <r>
      <rPr>
        <b/>
        <u/>
        <sz val="8"/>
        <rFont val="Arial"/>
        <family val="2"/>
      </rPr>
      <t>Example Language:</t>
    </r>
    <r>
      <rPr>
        <sz val="8"/>
        <rFont val="Arial"/>
        <family val="2"/>
      </rPr>
      <t xml:space="preserve"> Analyzed total revenue for this Service Center of $1,000,000 per year.  Revenue from providing this specific testing has historically been about $250,000/year, so 25% used as allocated to this service. (Could also use study of % effort from all personnel or other reasonable method.</t>
    </r>
  </si>
  <si>
    <t>Office Supplies (paper clips, staples, etc.)</t>
  </si>
  <si>
    <r>
      <rPr>
        <b/>
        <u/>
        <sz val="8"/>
        <rFont val="Arial"/>
        <family val="2"/>
      </rPr>
      <t>Example Language:</t>
    </r>
    <r>
      <rPr>
        <sz val="8"/>
        <rFont val="Arial"/>
        <family val="2"/>
      </rPr>
      <t xml:space="preserve"> Based on estimated time each machine is used for this service compared to total time.  Differs for each machine, and the operational costs are the same as the machine when specifically identifiable.</t>
    </r>
  </si>
  <si>
    <r>
      <rPr>
        <b/>
        <u/>
        <sz val="8"/>
        <rFont val="Arial"/>
        <family val="2"/>
      </rPr>
      <t>Billable Hours Example Language:</t>
    </r>
    <r>
      <rPr>
        <sz val="8"/>
        <rFont val="Arial"/>
        <family val="2"/>
      </rPr>
      <t xml:space="preserve"> Billable hours determined based on 40hr/week for 52 weeks (2,080) less paid holidays (72), annual vacation leave (144), annual sick leave (48), annual profession development leave (96), &amp; administrative duties related to the service center (12) = 1,708 ; On-call/student employee on duty for 50% of the year (2080 * 50%) ; etc.</t>
    </r>
  </si>
  <si>
    <t>Total % Effort on This Service/Acct**</t>
  </si>
  <si>
    <t>Max % Allowed</t>
  </si>
  <si>
    <t>&gt; Max?</t>
  </si>
  <si>
    <t>Note</t>
  </si>
  <si>
    <t>All items highlighted light blue are manually entered by FA.</t>
  </si>
  <si>
    <t>Item</t>
  </si>
  <si>
    <t>Internal</t>
  </si>
  <si>
    <t>Federal Grant</t>
  </si>
  <si>
    <t>FOR FA USE ONLY: LEVEL OF EFFORT CHECK</t>
  </si>
  <si>
    <t>TOTAL INDIRECT PERSONNEL COSTS (to Page/Tab 1)</t>
  </si>
  <si>
    <t>TOTAL DIRECT PERSONNEL COSTS (to Page/Tab 1)</t>
  </si>
  <si>
    <t>TOTAL OTHER INDIRECT COSTS (to Page/Tab 1)</t>
  </si>
  <si>
    <t>TOTAL OTHER DIRECT COSTS (to Page/Tab 1)</t>
  </si>
  <si>
    <t>TOTAL ANNUAL EQUIPMENT COSTS (to Page/Tab 1)</t>
  </si>
  <si>
    <t>TOTAL DIRECT MATERIALS (to Page/Tab 1)</t>
  </si>
  <si>
    <t>If update/renewal, complete lookback analysis on Page/Tab 6</t>
  </si>
  <si>
    <t>UNADJUSTED CUMULATIVE SURPLUS (DEFICIT) FOR THE SERVICE</t>
  </si>
  <si>
    <t>LESS ALLOWABLE CUMULATIVE SURPLUS NOT EXCEEDING 10% OF ANNUAL OPERATING EXPENSES</t>
  </si>
  <si>
    <t>ADJUSTED CUMULATIVE SURPLUS (DEFICIT) FOR RATE ALLOCATION</t>
  </si>
  <si>
    <t>ANTICIPATED CAPITAL NEEDS WITHIN THE NEXT TWO YEARS</t>
  </si>
  <si>
    <t>ADJUSTED CUMULATIVE SURPLUS (DEFICIT) USED FOR RATE ALLOCATION</t>
  </si>
  <si>
    <t>LOOKBACK PERCENTAGE USED FOR RATE ALLOCATION</t>
  </si>
  <si>
    <t>CUMULATIVE LOOKBACK REDUCTION (RECOVERY) USED FOR RATE</t>
  </si>
  <si>
    <t>Account #:</t>
  </si>
  <si>
    <t>Sub Account #:</t>
  </si>
  <si>
    <t>[2]</t>
  </si>
  <si>
    <t>[1]</t>
  </si>
  <si>
    <t>[4]</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</si>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</sst>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quot;$&quot;#,##0.00"/>
    <numFmt numFmtId="167" formatCode="_(&quot;$&quot;* #,##0_);_(&quot;$&quot;* \(#,##0\);_(&quot;$&quot;* &quot;-&quot;??_);_(@_)"/>
    <numFmt numFmtId="168" formatCode="_(* #,##0_);_(* \(#,##0\);_(* &quot;-&quot;??_);_(@_)"/>
  </numFmts>
  <fonts count="41" x14ac:knownFonts="1">
    <font>
      <sz val="8"/>
      <name val="Arial"/>
    </font>
    <font>
      <sz val="8"/>
      <name val="Arial"/>
      <family val="2"/>
    </font>
    <font>
      <b/>
      <sz val="8"/>
      <name val="Arial"/>
      <family val="2"/>
    </font>
    <font>
      <b/>
      <sz val="10"/>
      <name val="Arial"/>
      <family val="2"/>
    </font>
    <font>
      <sz val="8"/>
      <name val="Arial"/>
      <family val="2"/>
    </font>
    <font>
      <sz val="8"/>
      <color indexed="20"/>
      <name val="Arial"/>
      <family val="2"/>
    </font>
    <font>
      <b/>
      <sz val="9"/>
      <color indexed="10"/>
      <name val="Arial"/>
      <family val="2"/>
    </font>
    <font>
      <sz val="9"/>
      <name val="Arial"/>
      <family val="2"/>
    </font>
    <font>
      <i/>
      <sz val="8"/>
      <name val="Arial"/>
      <family val="2"/>
    </font>
    <font>
      <sz val="10"/>
      <name val="Calibri"/>
      <family val="2"/>
    </font>
    <font>
      <b/>
      <sz val="10"/>
      <name val="Calibri"/>
      <family val="2"/>
    </font>
    <font>
      <b/>
      <u/>
      <sz val="10"/>
      <color indexed="12"/>
      <name val="Calibri"/>
      <family val="2"/>
    </font>
    <font>
      <sz val="8"/>
      <name val="Arial"/>
      <family val="2"/>
    </font>
    <font>
      <u/>
      <sz val="8"/>
      <color theme="10"/>
      <name val="Arial"/>
      <family val="2"/>
    </font>
    <font>
      <sz val="10"/>
      <name val="Calibri"/>
      <family val="2"/>
      <scheme val="minor"/>
    </font>
    <font>
      <b/>
      <sz val="10"/>
      <name val="Calibri"/>
      <family val="2"/>
      <scheme val="minor"/>
    </font>
    <font>
      <sz val="8"/>
      <color rgb="FF00B050"/>
      <name val="Arial"/>
      <family val="2"/>
    </font>
    <font>
      <sz val="10"/>
      <color rgb="FF00B050"/>
      <name val="Calibri"/>
      <family val="2"/>
      <scheme val="minor"/>
    </font>
    <font>
      <sz val="12"/>
      <name val="Calibri"/>
      <family val="2"/>
      <scheme val="minor"/>
    </font>
    <font>
      <b/>
      <sz val="12"/>
      <name val="Calibri"/>
      <family val="2"/>
      <scheme val="minor"/>
    </font>
    <font>
      <sz val="8"/>
      <name val="Calibri"/>
      <family val="2"/>
      <scheme val="minor"/>
    </font>
    <font>
      <b/>
      <sz val="8"/>
      <name val="Calibri"/>
      <family val="2"/>
      <scheme val="minor"/>
    </font>
    <font>
      <i/>
      <sz val="10"/>
      <name val="Calibri"/>
      <family val="2"/>
      <scheme val="minor"/>
    </font>
    <font>
      <b/>
      <i/>
      <sz val="10"/>
      <name val="Calibri"/>
      <family val="2"/>
      <scheme val="minor"/>
    </font>
    <font>
      <b/>
      <sz val="14"/>
      <name val="Calibri"/>
      <family val="2"/>
      <scheme val="minor"/>
    </font>
    <font>
      <b/>
      <sz val="11"/>
      <name val="Calibri"/>
      <family val="2"/>
      <scheme val="minor"/>
    </font>
    <font>
      <sz val="8"/>
      <color rgb="FFFF0000"/>
      <name val="Arial"/>
      <family val="2"/>
    </font>
    <font>
      <sz val="10"/>
      <color rgb="FF0070C0"/>
      <name val="Calibri"/>
      <family val="2"/>
      <scheme val="minor"/>
    </font>
    <font>
      <b/>
      <sz val="10"/>
      <color rgb="FF0070C0"/>
      <name val="Calibri"/>
      <family val="2"/>
      <scheme val="minor"/>
    </font>
    <font>
      <b/>
      <sz val="8"/>
      <color rgb="FF0070C0"/>
      <name val="Arial"/>
      <family val="2"/>
    </font>
    <font>
      <sz val="8"/>
      <color rgb="FF0070C0"/>
      <name val="Arial"/>
      <family val="2"/>
    </font>
    <font>
      <b/>
      <sz val="12"/>
      <color rgb="FF0070C0"/>
      <name val="Calibri"/>
      <family val="2"/>
      <scheme val="minor"/>
    </font>
    <font>
      <b/>
      <sz val="8"/>
      <color rgb="FF0070C0"/>
      <name val="Calibri"/>
      <family val="2"/>
      <scheme val="minor"/>
    </font>
    <font>
      <sz val="8"/>
      <color rgb="FF0070C0"/>
      <name val="Calibri"/>
      <family val="2"/>
      <scheme val="minor"/>
    </font>
    <font>
      <sz val="14"/>
      <name val="Calibri"/>
      <family val="2"/>
      <scheme val="minor"/>
    </font>
    <font>
      <sz val="14"/>
      <color rgb="FF0070C0"/>
      <name val="Calibri"/>
      <family val="2"/>
      <scheme val="minor"/>
    </font>
    <font>
      <b/>
      <sz val="9"/>
      <color indexed="81"/>
      <name val="Tahoma"/>
      <family val="2"/>
    </font>
    <font>
      <sz val="9"/>
      <color indexed="81"/>
      <name val="Tahoma"/>
      <family val="2"/>
    </font>
    <font>
      <b/>
      <u/>
      <sz val="8"/>
      <name val="Arial"/>
      <family val="2"/>
    </font>
    <font>
      <b/>
      <u/>
      <sz val="8"/>
      <name val="Calibri"/>
      <family val="2"/>
      <scheme val="minor"/>
    </font>
    <font>
      <b/>
      <sz val="8"/>
      <color rgb="FFFF0000"/>
      <name val="Arial"/>
      <family val="2"/>
    </font>
  </fonts>
  <fills count="10">
    <fill>
      <patternFill patternType="none"/>
    </fill>
    <fill>
      <patternFill patternType="gray125"/>
    </fill>
    <fill>
      <patternFill patternType="solid">
        <fgColor indexed="22"/>
        <bgColor indexed="64"/>
      </patternFill>
    </fill>
    <fill>
      <patternFill patternType="solid">
        <fgColor theme="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0">
    <xf numFmtId="0" fontId="0" fillId="0" borderId="0"/>
    <xf numFmtId="43" fontId="1"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3"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257">
    <xf numFmtId="0" fontId="0" fillId="0" borderId="0" xfId="0"/>
    <xf numFmtId="0" fontId="2" fillId="0" borderId="0" xfId="0" applyFont="1" applyAlignment="1">
      <alignment horizontal="center"/>
    </xf>
    <xf numFmtId="0" fontId="2" fillId="0" borderId="1" xfId="0" applyFont="1" applyBorder="1" applyAlignment="1">
      <alignment horizontal="center" wrapText="1"/>
    </xf>
    <xf numFmtId="0" fontId="0" fillId="0" borderId="0" xfId="0" applyAlignment="1">
      <alignment horizontal="center"/>
    </xf>
    <xf numFmtId="49" fontId="0" fillId="0" borderId="0" xfId="0" applyNumberFormat="1" applyAlignment="1">
      <alignment horizontal="center"/>
    </xf>
    <xf numFmtId="164" fontId="0" fillId="0" borderId="0" xfId="0" applyNumberFormat="1"/>
    <xf numFmtId="10" fontId="0" fillId="0" borderId="0" xfId="9" applyNumberFormat="1" applyFont="1" applyAlignment="1">
      <alignment horizontal="center"/>
    </xf>
    <xf numFmtId="0" fontId="3" fillId="2" borderId="0" xfId="0" applyFont="1" applyFill="1"/>
    <xf numFmtId="0" fontId="0" fillId="2" borderId="0" xfId="0" applyFill="1"/>
    <xf numFmtId="49" fontId="0" fillId="2" borderId="0" xfId="0" applyNumberFormat="1" applyFill="1" applyAlignment="1">
      <alignment horizontal="center"/>
    </xf>
    <xf numFmtId="164" fontId="0" fillId="2" borderId="0" xfId="0" applyNumberFormat="1" applyFill="1"/>
    <xf numFmtId="0" fontId="0" fillId="2" borderId="0" xfId="0" applyFill="1" applyAlignment="1">
      <alignment horizontal="center"/>
    </xf>
    <xf numFmtId="164" fontId="0" fillId="0" borderId="1" xfId="0" applyNumberFormat="1" applyBorder="1"/>
    <xf numFmtId="0" fontId="4" fillId="0" borderId="0" xfId="0" applyFont="1"/>
    <xf numFmtId="49" fontId="4" fillId="0" borderId="0" xfId="0" applyNumberFormat="1" applyFont="1" applyAlignment="1">
      <alignment horizontal="center"/>
    </xf>
    <xf numFmtId="164" fontId="4" fillId="0" borderId="0" xfId="0" applyNumberFormat="1" applyFont="1"/>
    <xf numFmtId="0" fontId="4" fillId="0" borderId="0" xfId="0" applyFont="1" applyAlignment="1">
      <alignment horizontal="center"/>
    </xf>
    <xf numFmtId="0" fontId="2" fillId="0" borderId="0" xfId="0" applyFont="1" applyAlignment="1">
      <alignment horizontal="right"/>
    </xf>
    <xf numFmtId="0" fontId="2" fillId="0" borderId="2" xfId="0" applyFont="1" applyBorder="1" applyAlignment="1">
      <alignment horizontal="center" wrapText="1"/>
    </xf>
    <xf numFmtId="0" fontId="5" fillId="0" borderId="0" xfId="0" applyFont="1"/>
    <xf numFmtId="44" fontId="0" fillId="0" borderId="0" xfId="4" applyFont="1"/>
    <xf numFmtId="49" fontId="6" fillId="0" borderId="0" xfId="0" applyNumberFormat="1" applyFont="1" applyAlignment="1">
      <alignment horizontal="left"/>
    </xf>
    <xf numFmtId="0" fontId="6" fillId="0" borderId="0" xfId="0" applyFont="1"/>
    <xf numFmtId="0" fontId="7" fillId="0" borderId="0" xfId="0" applyFont="1"/>
    <xf numFmtId="0" fontId="2" fillId="0" borderId="0" xfId="0" applyFont="1"/>
    <xf numFmtId="166" fontId="0" fillId="0" borderId="0" xfId="0" applyNumberFormat="1"/>
    <xf numFmtId="10" fontId="0" fillId="0" borderId="0" xfId="9" applyNumberFormat="1" applyFont="1" applyBorder="1" applyAlignment="1">
      <alignment horizontal="right"/>
    </xf>
    <xf numFmtId="10" fontId="2" fillId="0" borderId="0" xfId="9" applyNumberFormat="1" applyFont="1" applyBorder="1" applyAlignment="1">
      <alignment horizontal="right"/>
    </xf>
    <xf numFmtId="165" fontId="0" fillId="0" borderId="0" xfId="0" applyNumberFormat="1" applyAlignment="1">
      <alignment horizontal="center"/>
    </xf>
    <xf numFmtId="164" fontId="2" fillId="0" borderId="0" xfId="0" applyNumberFormat="1" applyFont="1"/>
    <xf numFmtId="166" fontId="0" fillId="0" borderId="0" xfId="9" applyNumberFormat="1" applyFont="1" applyBorder="1" applyAlignment="1">
      <alignment horizontal="right"/>
    </xf>
    <xf numFmtId="10" fontId="4" fillId="0" borderId="0" xfId="9" applyNumberFormat="1" applyFont="1" applyBorder="1" applyAlignment="1">
      <alignment horizontal="right"/>
    </xf>
    <xf numFmtId="0" fontId="0" fillId="0" borderId="1" xfId="0" applyBorder="1"/>
    <xf numFmtId="49" fontId="0" fillId="0" borderId="1" xfId="0" applyNumberFormat="1" applyBorder="1" applyAlignment="1">
      <alignment horizontal="center"/>
    </xf>
    <xf numFmtId="10" fontId="4" fillId="0" borderId="1" xfId="9" applyNumberFormat="1" applyFont="1" applyBorder="1" applyAlignment="1">
      <alignment horizontal="right"/>
    </xf>
    <xf numFmtId="166" fontId="0" fillId="0" borderId="1" xfId="9" applyNumberFormat="1" applyFont="1" applyBorder="1" applyAlignment="1">
      <alignment horizontal="right"/>
    </xf>
    <xf numFmtId="166" fontId="2" fillId="0" borderId="0" xfId="0" applyNumberFormat="1" applyFont="1"/>
    <xf numFmtId="41" fontId="0" fillId="0" borderId="0" xfId="0" applyNumberFormat="1"/>
    <xf numFmtId="41" fontId="2" fillId="0" borderId="0" xfId="0" applyNumberFormat="1" applyFont="1" applyAlignment="1">
      <alignment horizontal="center"/>
    </xf>
    <xf numFmtId="41" fontId="0" fillId="0" borderId="1" xfId="0" applyNumberFormat="1" applyBorder="1"/>
    <xf numFmtId="0" fontId="2" fillId="0" borderId="0" xfId="0" applyFont="1" applyAlignment="1">
      <alignment horizontal="center" wrapText="1"/>
    </xf>
    <xf numFmtId="42" fontId="0" fillId="0" borderId="0" xfId="0" applyNumberFormat="1"/>
    <xf numFmtId="41" fontId="2" fillId="0" borderId="0" xfId="0" applyNumberFormat="1" applyFont="1"/>
    <xf numFmtId="0" fontId="14" fillId="0" borderId="0" xfId="0" applyFont="1"/>
    <xf numFmtId="0" fontId="14" fillId="0" borderId="1" xfId="0" applyFont="1" applyBorder="1"/>
    <xf numFmtId="0" fontId="15" fillId="0" borderId="0" xfId="0" applyFont="1"/>
    <xf numFmtId="0" fontId="14" fillId="0" borderId="0" xfId="0" applyFont="1" applyAlignment="1">
      <alignment horizontal="left"/>
    </xf>
    <xf numFmtId="9" fontId="0" fillId="0" borderId="0" xfId="9" applyFont="1" applyAlignment="1">
      <alignment horizontal="center"/>
    </xf>
    <xf numFmtId="0" fontId="8" fillId="0" borderId="0" xfId="0" applyFont="1"/>
    <xf numFmtId="0" fontId="16" fillId="0" borderId="0" xfId="0" applyFont="1"/>
    <xf numFmtId="0" fontId="17" fillId="0" borderId="0" xfId="0" applyFont="1"/>
    <xf numFmtId="41" fontId="0" fillId="0" borderId="3" xfId="0" applyNumberFormat="1" applyBorder="1"/>
    <xf numFmtId="3" fontId="0" fillId="0" borderId="0" xfId="0" applyNumberFormat="1" applyAlignment="1">
      <alignment horizontal="right"/>
    </xf>
    <xf numFmtId="0" fontId="0" fillId="4" borderId="0" xfId="0" applyFill="1"/>
    <xf numFmtId="0" fontId="2" fillId="0" borderId="2" xfId="0" applyFont="1" applyBorder="1" applyAlignment="1">
      <alignment wrapText="1"/>
    </xf>
    <xf numFmtId="167" fontId="0" fillId="0" borderId="0" xfId="4" applyNumberFormat="1" applyFont="1"/>
    <xf numFmtId="44" fontId="16" fillId="0" borderId="0" xfId="4" applyFont="1" applyBorder="1"/>
    <xf numFmtId="0" fontId="3" fillId="4" borderId="0" xfId="0" applyFont="1" applyFill="1"/>
    <xf numFmtId="0" fontId="16" fillId="0" borderId="0" xfId="0" applyFont="1" applyAlignment="1">
      <alignment horizontal="left" vertical="center" wrapText="1"/>
    </xf>
    <xf numFmtId="0" fontId="2" fillId="0" borderId="6" xfId="0" applyFont="1" applyBorder="1" applyAlignment="1">
      <alignment horizontal="left"/>
    </xf>
    <xf numFmtId="0" fontId="2" fillId="0" borderId="6" xfId="0" applyFont="1" applyBorder="1" applyAlignment="1">
      <alignment horizontal="left" wrapText="1"/>
    </xf>
    <xf numFmtId="49" fontId="2" fillId="0" borderId="6" xfId="0" applyNumberFormat="1" applyFont="1" applyBorder="1" applyAlignment="1">
      <alignment horizontal="center" wrapText="1"/>
    </xf>
    <xf numFmtId="0" fontId="2" fillId="0" borderId="6" xfId="0" applyFont="1" applyBorder="1" applyAlignment="1">
      <alignment horizontal="center" wrapText="1"/>
    </xf>
    <xf numFmtId="0" fontId="2" fillId="0" borderId="6" xfId="0" applyFont="1" applyBorder="1" applyAlignment="1">
      <alignment wrapText="1"/>
    </xf>
    <xf numFmtId="0" fontId="0" fillId="0" borderId="3" xfId="0" applyBorder="1"/>
    <xf numFmtId="41" fontId="2" fillId="0" borderId="6" xfId="0" applyNumberFormat="1" applyFont="1" applyBorder="1" applyAlignment="1">
      <alignment horizontal="center" wrapText="1"/>
    </xf>
    <xf numFmtId="0" fontId="14" fillId="0" borderId="0" xfId="0" applyFont="1" applyAlignment="1">
      <alignment horizontal="right"/>
    </xf>
    <xf numFmtId="0" fontId="15" fillId="0" borderId="0" xfId="0" applyFont="1" applyAlignment="1">
      <alignment horizontal="right"/>
    </xf>
    <xf numFmtId="0" fontId="18" fillId="0" borderId="0" xfId="0" applyFont="1"/>
    <xf numFmtId="0" fontId="19" fillId="0" borderId="0" xfId="0" applyFont="1" applyAlignment="1">
      <alignment horizontal="right"/>
    </xf>
    <xf numFmtId="0" fontId="20" fillId="0" borderId="0" xfId="0" applyFont="1"/>
    <xf numFmtId="41" fontId="20" fillId="0" borderId="0" xfId="0" applyNumberFormat="1" applyFont="1"/>
    <xf numFmtId="0" fontId="21" fillId="0" borderId="1" xfId="0" applyFont="1" applyBorder="1"/>
    <xf numFmtId="41" fontId="21" fillId="0" borderId="0" xfId="0" applyNumberFormat="1" applyFont="1" applyAlignment="1">
      <alignment horizontal="center"/>
    </xf>
    <xf numFmtId="0" fontId="14" fillId="5" borderId="2" xfId="0" applyFont="1" applyFill="1" applyBorder="1"/>
    <xf numFmtId="0" fontId="14" fillId="5" borderId="7" xfId="0" applyFont="1" applyFill="1" applyBorder="1"/>
    <xf numFmtId="41" fontId="21" fillId="0" borderId="1" xfId="0" applyNumberFormat="1" applyFont="1" applyBorder="1" applyAlignment="1">
      <alignment horizontal="center" wrapText="1"/>
    </xf>
    <xf numFmtId="0" fontId="21" fillId="0" borderId="0" xfId="0" applyFont="1" applyAlignment="1">
      <alignment horizontal="right"/>
    </xf>
    <xf numFmtId="0" fontId="20" fillId="5" borderId="2" xfId="0" applyFont="1" applyFill="1" applyBorder="1"/>
    <xf numFmtId="0" fontId="20" fillId="5" borderId="7" xfId="0" applyFont="1" applyFill="1" applyBorder="1"/>
    <xf numFmtId="0" fontId="19" fillId="0" borderId="1" xfId="0" applyFont="1" applyBorder="1"/>
    <xf numFmtId="0" fontId="19" fillId="5" borderId="8" xfId="0" applyFont="1" applyFill="1" applyBorder="1"/>
    <xf numFmtId="0" fontId="22" fillId="0" borderId="0" xfId="0" applyFont="1"/>
    <xf numFmtId="0" fontId="22" fillId="0" borderId="9" xfId="0" applyFont="1" applyBorder="1"/>
    <xf numFmtId="0" fontId="23" fillId="0" borderId="10" xfId="0" applyFont="1" applyBorder="1"/>
    <xf numFmtId="0" fontId="3" fillId="0" borderId="0" xfId="0" applyFont="1"/>
    <xf numFmtId="0" fontId="15" fillId="0" borderId="1" xfId="0" applyFont="1" applyBorder="1"/>
    <xf numFmtId="0" fontId="24" fillId="0" borderId="1" xfId="0" applyFont="1" applyBorder="1"/>
    <xf numFmtId="0" fontId="24" fillId="0" borderId="0" xfId="0" applyFont="1"/>
    <xf numFmtId="0" fontId="17" fillId="0" borderId="0" xfId="0" applyFont="1" applyAlignment="1">
      <alignment horizontal="left"/>
    </xf>
    <xf numFmtId="0" fontId="22" fillId="0" borderId="0" xfId="0" applyFont="1" applyAlignment="1">
      <alignment horizontal="left"/>
    </xf>
    <xf numFmtId="0" fontId="15" fillId="2" borderId="0" xfId="0" applyFont="1" applyFill="1"/>
    <xf numFmtId="44" fontId="14" fillId="0" borderId="0" xfId="4" applyFont="1"/>
    <xf numFmtId="44" fontId="20" fillId="0" borderId="0" xfId="4" applyFont="1"/>
    <xf numFmtId="0" fontId="15" fillId="0" borderId="0" xfId="0" applyFont="1" applyAlignment="1">
      <alignment horizontal="left" vertical="top" wrapText="1"/>
    </xf>
    <xf numFmtId="0" fontId="15" fillId="0" borderId="0" xfId="0" applyFont="1" applyAlignment="1">
      <alignment horizontal="left" vertical="top"/>
    </xf>
    <xf numFmtId="0" fontId="21" fillId="0" borderId="0" xfId="0" quotePrefix="1" applyFont="1" applyAlignment="1">
      <alignment horizontal="right"/>
    </xf>
    <xf numFmtId="10" fontId="0" fillId="0" borderId="0" xfId="9" applyNumberFormat="1" applyFont="1" applyFill="1" applyAlignment="1">
      <alignment horizontal="center"/>
    </xf>
    <xf numFmtId="0" fontId="26" fillId="0" borderId="0" xfId="0" applyFont="1"/>
    <xf numFmtId="49" fontId="26" fillId="0" borderId="0" xfId="0" applyNumberFormat="1" applyFont="1" applyAlignment="1">
      <alignment horizontal="center"/>
    </xf>
    <xf numFmtId="164" fontId="26" fillId="0" borderId="0" xfId="0" applyNumberFormat="1" applyFont="1"/>
    <xf numFmtId="0" fontId="26" fillId="0" borderId="0" xfId="0" applyFont="1" applyAlignment="1">
      <alignment horizontal="center"/>
    </xf>
    <xf numFmtId="0" fontId="26" fillId="0" borderId="0" xfId="0" applyFont="1" applyAlignment="1">
      <alignment horizontal="left" indent="2"/>
    </xf>
    <xf numFmtId="0" fontId="2" fillId="0" borderId="6" xfId="0" applyFont="1" applyBorder="1" applyAlignment="1">
      <alignment horizontal="center"/>
    </xf>
    <xf numFmtId="0" fontId="2" fillId="0" borderId="8" xfId="0" applyFont="1" applyBorder="1" applyAlignment="1">
      <alignment wrapText="1"/>
    </xf>
    <xf numFmtId="0" fontId="3" fillId="5" borderId="8" xfId="0" applyFont="1" applyFill="1" applyBorder="1"/>
    <xf numFmtId="0" fontId="3" fillId="5" borderId="2" xfId="0" applyFont="1" applyFill="1" applyBorder="1"/>
    <xf numFmtId="0" fontId="3" fillId="5" borderId="7" xfId="0" applyFont="1" applyFill="1" applyBorder="1"/>
    <xf numFmtId="0" fontId="3" fillId="0" borderId="11" xfId="0" applyFont="1" applyBorder="1"/>
    <xf numFmtId="0" fontId="13" fillId="0" borderId="0" xfId="7" applyAlignment="1" applyProtection="1"/>
    <xf numFmtId="49" fontId="13" fillId="0" borderId="0" xfId="7" applyNumberFormat="1" applyAlignment="1" applyProtection="1">
      <alignment horizontal="center"/>
    </xf>
    <xf numFmtId="164" fontId="13" fillId="0" borderId="0" xfId="7" applyNumberFormat="1" applyAlignment="1" applyProtection="1"/>
    <xf numFmtId="0" fontId="4" fillId="0" borderId="0" xfId="0" applyFont="1" applyAlignment="1">
      <alignment horizontal="left"/>
    </xf>
    <xf numFmtId="0" fontId="14" fillId="0" borderId="0" xfId="8" applyFont="1"/>
    <xf numFmtId="167" fontId="32" fillId="0" borderId="3" xfId="0" applyNumberFormat="1" applyFont="1" applyBorder="1"/>
    <xf numFmtId="167" fontId="33" fillId="0" borderId="0" xfId="0" applyNumberFormat="1" applyFont="1"/>
    <xf numFmtId="167" fontId="29" fillId="0" borderId="3" xfId="0" applyNumberFormat="1" applyFont="1" applyBorder="1"/>
    <xf numFmtId="0" fontId="1" fillId="0" borderId="0" xfId="12"/>
    <xf numFmtId="44" fontId="27" fillId="0" borderId="0" xfId="4" applyFont="1"/>
    <xf numFmtId="44" fontId="27" fillId="0" borderId="3" xfId="4" applyFont="1" applyBorder="1"/>
    <xf numFmtId="167" fontId="29" fillId="3" borderId="5" xfId="4" applyNumberFormat="1" applyFont="1" applyFill="1" applyBorder="1"/>
    <xf numFmtId="164" fontId="29" fillId="0" borderId="3" xfId="9" applyNumberFormat="1" applyFont="1" applyBorder="1" applyAlignment="1">
      <alignment horizontal="right"/>
    </xf>
    <xf numFmtId="44" fontId="28" fillId="7" borderId="5" xfId="5" applyFont="1" applyFill="1" applyBorder="1"/>
    <xf numFmtId="167" fontId="32" fillId="0" borderId="0" xfId="0" applyNumberFormat="1" applyFont="1"/>
    <xf numFmtId="9" fontId="31" fillId="0" borderId="5" xfId="9" applyFont="1" applyBorder="1"/>
    <xf numFmtId="164" fontId="30" fillId="0" borderId="0" xfId="0" applyNumberFormat="1" applyFont="1"/>
    <xf numFmtId="166" fontId="30" fillId="0" borderId="0" xfId="0" applyNumberFormat="1" applyFont="1"/>
    <xf numFmtId="164" fontId="29" fillId="0" borderId="3" xfId="0" applyNumberFormat="1" applyFont="1" applyBorder="1"/>
    <xf numFmtId="164" fontId="29" fillId="3" borderId="4" xfId="0" applyNumberFormat="1" applyFont="1" applyFill="1" applyBorder="1"/>
    <xf numFmtId="42" fontId="30" fillId="0" borderId="0" xfId="0" applyNumberFormat="1" applyFont="1"/>
    <xf numFmtId="44" fontId="30" fillId="0" borderId="0" xfId="0" applyNumberFormat="1" applyFont="1"/>
    <xf numFmtId="42" fontId="29" fillId="0" borderId="3" xfId="0" applyNumberFormat="1" applyFont="1" applyBorder="1"/>
    <xf numFmtId="42" fontId="30" fillId="0" borderId="3" xfId="0" applyNumberFormat="1" applyFont="1" applyBorder="1"/>
    <xf numFmtId="42" fontId="29" fillId="3" borderId="5" xfId="0" applyNumberFormat="1" applyFont="1" applyFill="1" applyBorder="1"/>
    <xf numFmtId="0" fontId="10" fillId="0" borderId="0" xfId="0" applyFont="1" applyAlignment="1">
      <alignment horizontal="left" vertical="top"/>
    </xf>
    <xf numFmtId="0" fontId="25" fillId="0" borderId="0" xfId="0" applyFont="1"/>
    <xf numFmtId="44" fontId="27" fillId="0" borderId="0" xfId="6" applyFont="1"/>
    <xf numFmtId="0" fontId="15" fillId="0" borderId="1" xfId="0" applyFont="1" applyBorder="1" applyAlignment="1">
      <alignment horizontal="center" wrapText="1"/>
    </xf>
    <xf numFmtId="0" fontId="14" fillId="0" borderId="0" xfId="17" applyFont="1"/>
    <xf numFmtId="10" fontId="27" fillId="0" borderId="0" xfId="18" applyNumberFormat="1" applyFont="1" applyFill="1"/>
    <xf numFmtId="0" fontId="14" fillId="8" borderId="1" xfId="0" applyFont="1" applyFill="1" applyBorder="1" applyAlignment="1">
      <alignment horizontal="left"/>
    </xf>
    <xf numFmtId="0" fontId="1" fillId="8" borderId="0" xfId="0" applyFont="1" applyFill="1"/>
    <xf numFmtId="9" fontId="1" fillId="8" borderId="0" xfId="9" applyFont="1" applyFill="1" applyAlignment="1">
      <alignment horizontal="center"/>
    </xf>
    <xf numFmtId="164" fontId="1" fillId="8" borderId="0" xfId="0" applyNumberFormat="1" applyFont="1" applyFill="1"/>
    <xf numFmtId="10" fontId="1" fillId="8" borderId="0" xfId="9" applyNumberFormat="1" applyFont="1" applyFill="1" applyBorder="1" applyAlignment="1">
      <alignment horizontal="center"/>
    </xf>
    <xf numFmtId="9" fontId="1" fillId="8" borderId="0" xfId="9" applyFont="1" applyFill="1" applyBorder="1" applyAlignment="1">
      <alignment horizontal="center"/>
    </xf>
    <xf numFmtId="10" fontId="1" fillId="8" borderId="0" xfId="9" applyNumberFormat="1" applyFont="1" applyFill="1" applyAlignment="1">
      <alignment horizontal="center"/>
    </xf>
    <xf numFmtId="44" fontId="1" fillId="8" borderId="0" xfId="4" applyFont="1" applyFill="1"/>
    <xf numFmtId="168" fontId="1" fillId="8" borderId="0" xfId="1" applyNumberFormat="1" applyFont="1" applyFill="1" applyBorder="1" applyAlignment="1">
      <alignment horizontal="center"/>
    </xf>
    <xf numFmtId="166" fontId="1" fillId="8" borderId="0" xfId="0" applyNumberFormat="1" applyFont="1" applyFill="1"/>
    <xf numFmtId="44" fontId="1" fillId="8" borderId="0" xfId="4" applyFont="1" applyFill="1" applyBorder="1"/>
    <xf numFmtId="42" fontId="1" fillId="8" borderId="0" xfId="0" applyNumberFormat="1" applyFont="1" applyFill="1"/>
    <xf numFmtId="0" fontId="1" fillId="8" borderId="0" xfId="0" applyFont="1" applyFill="1" applyAlignment="1">
      <alignment horizontal="center"/>
    </xf>
    <xf numFmtId="9" fontId="1" fillId="8" borderId="0" xfId="9" applyFont="1" applyFill="1"/>
    <xf numFmtId="41" fontId="1" fillId="8" borderId="0" xfId="0" applyNumberFormat="1" applyFont="1" applyFill="1"/>
    <xf numFmtId="9" fontId="1" fillId="8" borderId="3" xfId="9" applyFont="1" applyFill="1" applyBorder="1"/>
    <xf numFmtId="0" fontId="16" fillId="8" borderId="0" xfId="0" applyFont="1" applyFill="1"/>
    <xf numFmtId="0" fontId="14" fillId="0" borderId="21" xfId="0" applyFont="1" applyBorder="1"/>
    <xf numFmtId="0" fontId="14" fillId="0" borderId="22" xfId="0" applyFont="1" applyBorder="1"/>
    <xf numFmtId="0" fontId="14" fillId="0" borderId="23" xfId="0" applyFont="1" applyBorder="1"/>
    <xf numFmtId="0" fontId="14" fillId="0" borderId="24" xfId="0" applyFont="1" applyBorder="1"/>
    <xf numFmtId="0" fontId="34" fillId="0" borderId="0" xfId="0" applyFont="1"/>
    <xf numFmtId="0" fontId="14" fillId="0" borderId="25" xfId="0" applyFont="1" applyBorder="1"/>
    <xf numFmtId="0" fontId="34" fillId="8" borderId="0" xfId="0" applyFont="1" applyFill="1"/>
    <xf numFmtId="0" fontId="14" fillId="8" borderId="0" xfId="0" applyFont="1" applyFill="1"/>
    <xf numFmtId="0" fontId="14" fillId="0" borderId="26" xfId="0" applyFont="1" applyBorder="1"/>
    <xf numFmtId="0" fontId="14" fillId="0" borderId="27" xfId="0" applyFont="1" applyBorder="1"/>
    <xf numFmtId="0" fontId="14" fillId="0" borderId="28" xfId="0" applyFont="1" applyBorder="1"/>
    <xf numFmtId="0" fontId="34" fillId="9" borderId="0" xfId="0" applyFont="1" applyFill="1"/>
    <xf numFmtId="0" fontId="14" fillId="9" borderId="0" xfId="0" applyFont="1" applyFill="1"/>
    <xf numFmtId="14" fontId="1" fillId="8" borderId="0" xfId="0" applyNumberFormat="1" applyFont="1" applyFill="1" applyAlignment="1">
      <alignment horizontal="center"/>
    </xf>
    <xf numFmtId="2" fontId="30" fillId="0" borderId="0" xfId="0" applyNumberFormat="1" applyFont="1" applyAlignment="1">
      <alignment horizontal="center"/>
    </xf>
    <xf numFmtId="0" fontId="1" fillId="0" borderId="0" xfId="0" applyFont="1"/>
    <xf numFmtId="14" fontId="15" fillId="9" borderId="6" xfId="0" applyNumberFormat="1" applyFont="1" applyFill="1" applyBorder="1" applyAlignment="1">
      <alignment horizontal="left" vertical="top" wrapText="1"/>
    </xf>
    <xf numFmtId="44" fontId="14" fillId="9" borderId="0" xfId="4" applyFont="1" applyFill="1"/>
    <xf numFmtId="44" fontId="14" fillId="9" borderId="1" xfId="4" applyFont="1" applyFill="1" applyBorder="1"/>
    <xf numFmtId="44" fontId="14" fillId="9" borderId="0" xfId="6" applyFont="1" applyFill="1"/>
    <xf numFmtId="0" fontId="15" fillId="6" borderId="29" xfId="0" applyFont="1" applyFill="1" applyBorder="1"/>
    <xf numFmtId="0" fontId="20" fillId="6" borderId="30" xfId="0" applyFont="1" applyFill="1" applyBorder="1"/>
    <xf numFmtId="0" fontId="20" fillId="6" borderId="31" xfId="0" applyFont="1" applyFill="1" applyBorder="1"/>
    <xf numFmtId="10" fontId="27" fillId="9" borderId="0" xfId="9" applyNumberFormat="1" applyFont="1" applyFill="1" applyBorder="1"/>
    <xf numFmtId="166" fontId="29" fillId="0" borderId="0" xfId="9" applyNumberFormat="1" applyFont="1" applyBorder="1" applyAlignment="1">
      <alignment horizontal="right"/>
    </xf>
    <xf numFmtId="0" fontId="30" fillId="0" borderId="0" xfId="0" applyFont="1" applyAlignment="1">
      <alignment horizontal="center"/>
    </xf>
    <xf numFmtId="0" fontId="30" fillId="0" borderId="0" xfId="0" applyFont="1"/>
    <xf numFmtId="10" fontId="30" fillId="0" borderId="0" xfId="9" applyNumberFormat="1" applyFont="1" applyFill="1" applyBorder="1" applyAlignment="1">
      <alignment horizontal="center"/>
    </xf>
    <xf numFmtId="0" fontId="30" fillId="0" borderId="0" xfId="0" applyFont="1" applyAlignment="1">
      <alignment horizontal="left"/>
    </xf>
    <xf numFmtId="0" fontId="14" fillId="8" borderId="6" xfId="0" applyFont="1" applyFill="1" applyBorder="1" applyAlignment="1">
      <alignment horizontal="center" vertical="center"/>
    </xf>
    <xf numFmtId="0" fontId="14" fillId="0" borderId="0" xfId="0" applyFont="1" applyAlignment="1">
      <alignment vertical="center"/>
    </xf>
    <xf numFmtId="0" fontId="15" fillId="0" borderId="0" xfId="0" applyFont="1" applyAlignment="1">
      <alignment horizontal="right" vertical="center"/>
    </xf>
    <xf numFmtId="9" fontId="14" fillId="8" borderId="6" xfId="9" applyFont="1" applyFill="1" applyBorder="1" applyAlignment="1">
      <alignment vertical="center"/>
    </xf>
    <xf numFmtId="0" fontId="14" fillId="8" borderId="6" xfId="0" applyFont="1" applyFill="1" applyBorder="1" applyAlignment="1">
      <alignment vertical="center"/>
    </xf>
    <xf numFmtId="0" fontId="15" fillId="0" borderId="0" xfId="0" applyFont="1" applyAlignment="1">
      <alignment vertical="center"/>
    </xf>
    <xf numFmtId="9" fontId="27" fillId="0" borderId="6" xfId="4" applyNumberFormat="1" applyFont="1" applyBorder="1" applyAlignment="1">
      <alignment vertical="center"/>
    </xf>
    <xf numFmtId="0" fontId="27" fillId="0" borderId="0" xfId="0" applyFont="1" applyAlignment="1">
      <alignment vertical="center"/>
    </xf>
    <xf numFmtId="10" fontId="1" fillId="9" borderId="0" xfId="9" applyNumberFormat="1" applyFont="1" applyFill="1" applyAlignment="1">
      <alignment horizontal="center"/>
    </xf>
    <xf numFmtId="44" fontId="28" fillId="0" borderId="3" xfId="4" applyFont="1" applyBorder="1"/>
    <xf numFmtId="44" fontId="27" fillId="0" borderId="0" xfId="4" applyFont="1" applyBorder="1"/>
    <xf numFmtId="44" fontId="28" fillId="0" borderId="0" xfId="4" applyFont="1" applyBorder="1"/>
    <xf numFmtId="0" fontId="15" fillId="0" borderId="6" xfId="0" applyFont="1" applyBorder="1" applyAlignment="1">
      <alignment horizontal="center"/>
    </xf>
    <xf numFmtId="14" fontId="27" fillId="0" borderId="1" xfId="0" applyNumberFormat="1" applyFont="1" applyBorder="1" applyAlignment="1">
      <alignment horizontal="right"/>
    </xf>
    <xf numFmtId="14" fontId="14" fillId="9" borderId="1" xfId="0" applyNumberFormat="1" applyFont="1" applyFill="1" applyBorder="1" applyAlignment="1">
      <alignment horizontal="right"/>
    </xf>
    <xf numFmtId="9" fontId="40" fillId="0" borderId="0" xfId="9" applyFont="1" applyAlignment="1">
      <alignment horizontal="center" vertical="top"/>
    </xf>
    <xf numFmtId="9" fontId="40" fillId="0" borderId="0" xfId="9" applyFont="1" applyAlignment="1">
      <alignment horizontal="left" vertical="center"/>
    </xf>
    <xf numFmtId="9" fontId="40" fillId="0" borderId="0" xfId="9" applyFont="1" applyAlignment="1">
      <alignment horizontal="center"/>
    </xf>
    <xf numFmtId="0" fontId="20" fillId="8" borderId="12" xfId="0" applyFont="1" applyFill="1" applyBorder="1" applyAlignment="1">
      <alignment horizontal="left" vertical="top" wrapText="1"/>
    </xf>
    <xf numFmtId="0" fontId="20" fillId="8" borderId="13" xfId="0" applyFont="1" applyFill="1" applyBorder="1" applyAlignment="1">
      <alignment horizontal="left" vertical="top" wrapText="1"/>
    </xf>
    <xf numFmtId="0" fontId="20" fillId="8" borderId="11" xfId="0" applyFont="1" applyFill="1" applyBorder="1" applyAlignment="1">
      <alignment horizontal="left" vertical="top" wrapText="1"/>
    </xf>
    <xf numFmtId="0" fontId="20" fillId="8" borderId="14" xfId="0" applyFont="1" applyFill="1" applyBorder="1" applyAlignment="1">
      <alignment horizontal="left" vertical="top" wrapText="1"/>
    </xf>
    <xf numFmtId="0" fontId="20" fillId="8" borderId="15" xfId="0" applyFont="1" applyFill="1" applyBorder="1" applyAlignment="1">
      <alignment horizontal="left" vertical="top" wrapText="1"/>
    </xf>
    <xf numFmtId="0" fontId="20" fillId="8" borderId="16" xfId="0" applyFont="1" applyFill="1" applyBorder="1" applyAlignment="1">
      <alignment horizontal="left" vertical="top" wrapText="1"/>
    </xf>
    <xf numFmtId="0" fontId="22" fillId="0" borderId="17"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left" vertical="top" wrapText="1"/>
    </xf>
    <xf numFmtId="0" fontId="14" fillId="8" borderId="1" xfId="0" applyFont="1" applyFill="1" applyBorder="1" applyAlignment="1">
      <alignment horizontal="left"/>
    </xf>
    <xf numFmtId="14" fontId="14" fillId="8" borderId="1" xfId="0" applyNumberFormat="1" applyFont="1" applyFill="1" applyBorder="1" applyAlignment="1">
      <alignment horizontal="left"/>
    </xf>
    <xf numFmtId="0" fontId="3" fillId="5" borderId="12" xfId="0" applyFont="1" applyFill="1" applyBorder="1" applyAlignment="1">
      <alignment horizontal="center"/>
    </xf>
    <xf numFmtId="0" fontId="3" fillId="5" borderId="3" xfId="0" applyFont="1" applyFill="1" applyBorder="1" applyAlignment="1">
      <alignment horizontal="center"/>
    </xf>
    <xf numFmtId="0" fontId="3" fillId="5" borderId="13" xfId="0" applyFont="1" applyFill="1" applyBorder="1" applyAlignment="1">
      <alignment horizontal="center"/>
    </xf>
    <xf numFmtId="0" fontId="1" fillId="8" borderId="8" xfId="0" applyFont="1" applyFill="1" applyBorder="1" applyAlignment="1">
      <alignment horizontal="left" vertical="top" wrapText="1"/>
    </xf>
    <xf numFmtId="0" fontId="1" fillId="8" borderId="2" xfId="0" applyFont="1" applyFill="1" applyBorder="1" applyAlignment="1">
      <alignment horizontal="left" vertical="top" wrapText="1"/>
    </xf>
    <xf numFmtId="0" fontId="1" fillId="8" borderId="7" xfId="0" applyFont="1" applyFill="1" applyBorder="1" applyAlignment="1">
      <alignment horizontal="left" vertical="top" wrapText="1"/>
    </xf>
    <xf numFmtId="0" fontId="4" fillId="0" borderId="0" xfId="0" applyFont="1" applyAlignment="1">
      <alignment horizontal="left" vertical="top" wrapText="1"/>
    </xf>
    <xf numFmtId="0" fontId="3" fillId="5" borderId="8" xfId="0" applyFont="1" applyFill="1" applyBorder="1" applyAlignment="1">
      <alignment horizontal="center"/>
    </xf>
    <xf numFmtId="0" fontId="3" fillId="5" borderId="2" xfId="0" applyFont="1" applyFill="1" applyBorder="1" applyAlignment="1">
      <alignment horizontal="center"/>
    </xf>
    <xf numFmtId="0" fontId="3" fillId="5" borderId="7" xfId="0" applyFont="1" applyFill="1" applyBorder="1" applyAlignment="1">
      <alignment horizontal="center"/>
    </xf>
    <xf numFmtId="0" fontId="2" fillId="0" borderId="8" xfId="0" applyFont="1" applyBorder="1" applyAlignment="1">
      <alignment horizontal="left" wrapText="1"/>
    </xf>
    <xf numFmtId="0" fontId="2" fillId="0" borderId="7" xfId="0" applyFont="1" applyBorder="1" applyAlignment="1">
      <alignment horizontal="left" wrapText="1"/>
    </xf>
    <xf numFmtId="0" fontId="8" fillId="0" borderId="0" xfId="0" applyFont="1" applyAlignment="1">
      <alignment horizontal="left" vertical="top" wrapText="1"/>
    </xf>
    <xf numFmtId="0" fontId="2" fillId="0" borderId="2" xfId="0" applyFont="1" applyBorder="1" applyAlignment="1">
      <alignment horizontal="left" wrapText="1"/>
    </xf>
    <xf numFmtId="0" fontId="1" fillId="8" borderId="12"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8" borderId="13" xfId="0" applyFont="1" applyFill="1" applyBorder="1" applyAlignment="1">
      <alignment horizontal="left" vertical="center" wrapText="1"/>
    </xf>
    <xf numFmtId="0" fontId="1" fillId="8" borderId="11" xfId="0" applyFont="1" applyFill="1" applyBorder="1" applyAlignment="1">
      <alignment horizontal="left" vertical="center" wrapText="1"/>
    </xf>
    <xf numFmtId="0" fontId="1" fillId="8" borderId="0" xfId="0" applyFont="1" applyFill="1" applyAlignment="1">
      <alignment horizontal="left" vertical="center" wrapText="1"/>
    </xf>
    <xf numFmtId="0" fontId="1" fillId="8" borderId="14" xfId="0" applyFont="1" applyFill="1" applyBorder="1" applyAlignment="1">
      <alignment horizontal="left" vertical="center" wrapText="1"/>
    </xf>
    <xf numFmtId="0" fontId="1" fillId="8" borderId="15"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16" xfId="0" applyFont="1" applyFill="1" applyBorder="1" applyAlignment="1">
      <alignment horizontal="left" vertical="center" wrapText="1"/>
    </xf>
    <xf numFmtId="0" fontId="3" fillId="2" borderId="0" xfId="0" applyFont="1" applyFill="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xf>
    <xf numFmtId="0" fontId="20" fillId="9" borderId="9" xfId="0" applyFont="1" applyFill="1" applyBorder="1" applyAlignment="1">
      <alignment horizontal="left" vertical="center" wrapText="1"/>
    </xf>
    <xf numFmtId="0" fontId="20" fillId="9" borderId="17" xfId="0" applyFont="1" applyFill="1" applyBorder="1" applyAlignment="1">
      <alignment horizontal="left" vertical="center" wrapText="1"/>
    </xf>
    <xf numFmtId="0" fontId="20" fillId="9" borderId="18" xfId="0" applyFont="1" applyFill="1" applyBorder="1" applyAlignment="1">
      <alignment horizontal="left" vertical="center" wrapText="1"/>
    </xf>
    <xf numFmtId="0" fontId="20" fillId="9" borderId="32" xfId="0" applyFont="1" applyFill="1" applyBorder="1" applyAlignment="1">
      <alignment horizontal="left" vertical="center" wrapText="1"/>
    </xf>
    <xf numFmtId="0" fontId="20" fillId="9" borderId="0" xfId="0" applyFont="1" applyFill="1" applyAlignment="1">
      <alignment horizontal="left" vertical="center" wrapText="1"/>
    </xf>
    <xf numFmtId="0" fontId="20" fillId="9" borderId="33" xfId="0" applyFont="1" applyFill="1" applyBorder="1" applyAlignment="1">
      <alignment horizontal="left" vertical="center" wrapText="1"/>
    </xf>
    <xf numFmtId="0" fontId="20" fillId="9" borderId="10" xfId="0" applyFont="1" applyFill="1" applyBorder="1" applyAlignment="1">
      <alignment horizontal="left" vertical="center" wrapText="1"/>
    </xf>
    <xf numFmtId="0" fontId="20" fillId="9" borderId="19" xfId="0" applyFont="1" applyFill="1" applyBorder="1" applyAlignment="1">
      <alignment horizontal="left" vertical="center" wrapText="1"/>
    </xf>
    <xf numFmtId="0" fontId="20" fillId="9" borderId="20" xfId="0" applyFont="1" applyFill="1" applyBorder="1" applyAlignment="1">
      <alignment horizontal="left" vertical="center" wrapText="1"/>
    </xf>
    <xf numFmtId="0" fontId="14" fillId="0" borderId="0" xfId="0" applyFont="1" applyAlignment="1">
      <alignment horizontal="right" wrapText="1"/>
    </xf>
    <xf numFmtId="0" fontId="14" fillId="0" borderId="0" xfId="0" applyFont="1" applyAlignment="1">
      <alignment horizontal="left" vertical="top" wrapText="1"/>
    </xf>
    <xf numFmtId="0" fontId="15" fillId="0" borderId="0" xfId="0" applyFont="1" applyAlignment="1">
      <alignment horizontal="left" vertical="top" wrapText="1"/>
    </xf>
    <xf numFmtId="10" fontId="28" fillId="0" borderId="0" xfId="18" applyNumberFormat="1" applyFont="1" applyFill="1"/>
    <xf numFmtId="44" fontId="27" fillId="0" borderId="0" xfId="16" applyFont="1"/>
  </cellXfs>
  <cellStyles count="20">
    <cellStyle name="Comma" xfId="1" builtinId="3"/>
    <cellStyle name="Comma 2" xfId="2" xr:uid="{00000000-0005-0000-0000-000001000000}"/>
    <cellStyle name="Comma 2 2" xfId="13" xr:uid="{554D538E-2E76-4440-8537-A52B3EB4A585}"/>
    <cellStyle name="Comma 3" xfId="3" xr:uid="{00000000-0005-0000-0000-000002000000}"/>
    <cellStyle name="Comma 3 2" xfId="14" xr:uid="{E9A1CC34-503A-4C2E-B1AF-A9527AD2E7CA}"/>
    <cellStyle name="Currency" xfId="4" builtinId="4"/>
    <cellStyle name="Currency 2" xfId="5" xr:uid="{00000000-0005-0000-0000-000004000000}"/>
    <cellStyle name="Currency 2 2" xfId="15" xr:uid="{2BF78DBD-E565-43AB-87EC-D9A808856BD3}"/>
    <cellStyle name="Currency 3" xfId="6" xr:uid="{00000000-0005-0000-0000-000005000000}"/>
    <cellStyle name="Currency 3 2" xfId="16" xr:uid="{652CDB67-7FFA-45AB-B0A9-5213F7544566}"/>
    <cellStyle name="Hyperlink" xfId="7" builtinId="8"/>
    <cellStyle name="Normal" xfId="0" builtinId="0"/>
    <cellStyle name="Normal 2" xfId="8" xr:uid="{00000000-0005-0000-0000-000008000000}"/>
    <cellStyle name="Normal 2 2" xfId="17" xr:uid="{1A80AE2D-EE85-4C7A-93F4-A7F6DA4DAEC2}"/>
    <cellStyle name="Normal 3" xfId="12" xr:uid="{5B2A6220-A638-436D-A9CA-73CBCCE94022}"/>
    <cellStyle name="Percent" xfId="9" builtinId="5"/>
    <cellStyle name="Percent 2" xfId="10" xr:uid="{00000000-0005-0000-0000-00000A000000}"/>
    <cellStyle name="Percent 2 2" xfId="18" xr:uid="{A2C6429D-5E1B-40E5-BFC1-907921C2D313}"/>
    <cellStyle name="Percent 3" xfId="11" xr:uid="{00000000-0005-0000-0000-00000B000000}"/>
    <cellStyle name="Percent 3 2" xfId="19" xr:uid="{4CC65FD9-D568-4FE7-9FB9-95713ABDC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66675</xdr:colOff>
      <xdr:row>30</xdr:row>
      <xdr:rowOff>95250</xdr:rowOff>
    </xdr:from>
    <xdr:to>
      <xdr:col>10</xdr:col>
      <xdr:colOff>171450</xdr:colOff>
      <xdr:row>46</xdr:row>
      <xdr:rowOff>57150</xdr:rowOff>
    </xdr:to>
    <xdr:sp macro="" textlink="">
      <xdr:nvSpPr>
        <xdr:cNvPr id="10" name="Right Bracket 9">
          <a:extLst>
            <a:ext uri="{FF2B5EF4-FFF2-40B4-BE49-F238E27FC236}">
              <a16:creationId xmlns:a16="http://schemas.microsoft.com/office/drawing/2014/main" id="{5CBB6C1B-5ED9-4439-8646-9F2CD08BB476}"/>
            </a:ext>
          </a:extLst>
        </xdr:cNvPr>
        <xdr:cNvSpPr/>
      </xdr:nvSpPr>
      <xdr:spPr>
        <a:xfrm>
          <a:off x="7124700" y="5534025"/>
          <a:ext cx="104775" cy="2495550"/>
        </a:xfrm>
        <a:prstGeom prst="rightBracket">
          <a:avLst/>
        </a:prstGeom>
        <a:ln>
          <a:tailEnd type="stealt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X53"/>
  <sheetViews>
    <sheetView showGridLines="0" zoomScaleNormal="100" workbookViewId="0">
      <selection activeCell="C4" sqref="C4:D4"/>
    </sheetView>
  </sheetViews>
  <sheetFormatPr defaultColWidth="9.33203125" defaultRowHeight="12.75" x14ac:dyDescent="0.2"/>
  <cols>
    <col min="1" max="1" width="16.1640625" style="43" customWidth="1"/>
    <col min="2" max="2" width="4.6640625" style="43" customWidth="1"/>
    <col min="3" max="3" width="14.33203125" style="43" customWidth="1"/>
    <col min="4" max="4" width="10.33203125" style="43" customWidth="1"/>
    <col min="5" max="5" width="15.5" style="43" customWidth="1"/>
    <col min="6" max="6" width="9.33203125" style="43"/>
    <col min="7" max="7" width="15.5" style="43" customWidth="1"/>
    <col min="8" max="8" width="4" style="43" customWidth="1"/>
    <col min="9" max="9" width="21.5" style="43" customWidth="1"/>
    <col min="10" max="10" width="16.1640625" style="43" customWidth="1"/>
    <col min="11" max="11" width="10" style="43" bestFit="1" customWidth="1"/>
    <col min="12" max="22" width="9.33203125" style="43"/>
    <col min="23" max="23" width="12.6640625" style="43" customWidth="1"/>
    <col min="24" max="16384" width="9.33203125" style="43"/>
  </cols>
  <sheetData>
    <row r="1" spans="1:24" ht="21.75" customHeight="1" thickBot="1" x14ac:dyDescent="0.35">
      <c r="A1" s="87" t="s">
        <v>27</v>
      </c>
      <c r="B1" s="44"/>
      <c r="C1" s="44"/>
      <c r="D1" s="44"/>
      <c r="E1" s="44"/>
      <c r="F1" s="44"/>
      <c r="G1" s="44"/>
      <c r="H1" s="44"/>
      <c r="I1" s="44"/>
      <c r="J1" s="44"/>
      <c r="K1" s="86" t="s">
        <v>77</v>
      </c>
      <c r="M1" s="45" t="s">
        <v>164</v>
      </c>
    </row>
    <row r="2" spans="1:24" ht="13.5" customHeight="1" x14ac:dyDescent="0.3">
      <c r="A2" s="88"/>
      <c r="K2" s="45"/>
      <c r="M2" s="157"/>
      <c r="N2" s="158"/>
      <c r="O2" s="158"/>
      <c r="P2" s="158"/>
      <c r="Q2" s="158"/>
      <c r="R2" s="158"/>
      <c r="S2" s="158"/>
      <c r="T2" s="158"/>
      <c r="U2" s="158"/>
      <c r="V2" s="158"/>
      <c r="W2" s="158"/>
      <c r="X2" s="159"/>
    </row>
    <row r="3" spans="1:24" ht="18.75" x14ac:dyDescent="0.3">
      <c r="A3" s="45"/>
      <c r="M3" s="160"/>
      <c r="N3" s="161" t="s">
        <v>147</v>
      </c>
      <c r="X3" s="162"/>
    </row>
    <row r="4" spans="1:24" ht="21" customHeight="1" x14ac:dyDescent="0.3">
      <c r="A4" s="45" t="s">
        <v>162</v>
      </c>
      <c r="C4" s="215">
        <v>44894</v>
      </c>
      <c r="D4" s="214"/>
      <c r="M4" s="160"/>
      <c r="N4" s="163" t="s">
        <v>157</v>
      </c>
      <c r="O4" s="164"/>
      <c r="P4" s="164"/>
      <c r="Q4" s="164"/>
      <c r="R4" s="164"/>
      <c r="S4" s="164"/>
      <c r="T4" s="164"/>
      <c r="U4" s="164"/>
      <c r="V4" s="164"/>
      <c r="W4" s="164"/>
      <c r="X4" s="162"/>
    </row>
    <row r="5" spans="1:24" ht="24.75" customHeight="1" x14ac:dyDescent="0.3">
      <c r="A5" s="45" t="s">
        <v>199</v>
      </c>
      <c r="C5" s="214" t="s">
        <v>33</v>
      </c>
      <c r="D5" s="214"/>
      <c r="E5" s="50"/>
      <c r="M5" s="160"/>
      <c r="N5" s="168" t="s">
        <v>180</v>
      </c>
      <c r="O5" s="169"/>
      <c r="P5" s="169"/>
      <c r="Q5" s="169"/>
      <c r="R5" s="169"/>
      <c r="S5" s="169"/>
      <c r="T5" s="169"/>
      <c r="U5" s="169"/>
      <c r="V5" s="169"/>
      <c r="W5" s="169"/>
      <c r="X5" s="162"/>
    </row>
    <row r="6" spans="1:24" ht="24.75" customHeight="1" thickBot="1" x14ac:dyDescent="0.25">
      <c r="A6" s="45" t="s">
        <v>200</v>
      </c>
      <c r="C6" s="214" t="s">
        <v>153</v>
      </c>
      <c r="D6" s="214"/>
      <c r="E6" s="50"/>
      <c r="M6" s="165"/>
      <c r="N6" s="166"/>
      <c r="O6" s="166"/>
      <c r="P6" s="166"/>
      <c r="Q6" s="166"/>
      <c r="R6" s="166"/>
      <c r="S6" s="166"/>
      <c r="T6" s="166"/>
      <c r="U6" s="166"/>
      <c r="V6" s="166"/>
      <c r="W6" s="166"/>
      <c r="X6" s="167"/>
    </row>
    <row r="7" spans="1:24" ht="24.75" customHeight="1" x14ac:dyDescent="0.2">
      <c r="A7" s="45" t="s">
        <v>28</v>
      </c>
      <c r="C7" s="214" t="s">
        <v>34</v>
      </c>
      <c r="D7" s="214"/>
      <c r="E7" s="214"/>
      <c r="F7" s="214"/>
      <c r="G7" s="50"/>
    </row>
    <row r="8" spans="1:24" ht="24.75" customHeight="1" x14ac:dyDescent="0.2">
      <c r="A8" s="45" t="s">
        <v>29</v>
      </c>
      <c r="D8" s="214" t="s">
        <v>124</v>
      </c>
      <c r="E8" s="214"/>
      <c r="F8" s="214"/>
      <c r="G8" s="214"/>
    </row>
    <row r="9" spans="1:24" ht="22.5" customHeight="1" x14ac:dyDescent="0.2">
      <c r="A9" s="45" t="s">
        <v>155</v>
      </c>
      <c r="D9" s="214" t="s">
        <v>95</v>
      </c>
      <c r="E9" s="214"/>
      <c r="F9" s="214"/>
      <c r="G9" s="214"/>
      <c r="H9" s="214"/>
      <c r="I9" s="214"/>
    </row>
    <row r="10" spans="1:24" ht="22.5" customHeight="1" x14ac:dyDescent="0.2">
      <c r="A10" s="45" t="s">
        <v>154</v>
      </c>
      <c r="D10" s="214" t="s">
        <v>156</v>
      </c>
      <c r="E10" s="214"/>
      <c r="F10" s="214"/>
      <c r="G10" s="214"/>
      <c r="H10" s="214"/>
      <c r="I10" s="214"/>
      <c r="M10" s="117"/>
      <c r="N10" s="117"/>
      <c r="O10" s="117"/>
      <c r="P10" s="117"/>
      <c r="Q10" s="117"/>
      <c r="R10" s="117"/>
      <c r="S10" s="117"/>
      <c r="T10" s="117"/>
      <c r="U10" s="117"/>
      <c r="V10" s="117"/>
    </row>
    <row r="11" spans="1:24" x14ac:dyDescent="0.2">
      <c r="A11" s="45"/>
      <c r="D11" s="89"/>
      <c r="F11" s="89"/>
      <c r="G11" s="90"/>
      <c r="H11" s="89"/>
      <c r="I11" s="89"/>
    </row>
    <row r="12" spans="1:24" x14ac:dyDescent="0.2">
      <c r="A12" s="45" t="s">
        <v>163</v>
      </c>
      <c r="C12" s="199">
        <f ca="1">TODAY()</f>
        <v>45716</v>
      </c>
      <c r="D12" s="89"/>
      <c r="F12" s="89"/>
      <c r="G12" s="90"/>
      <c r="H12" s="89"/>
      <c r="I12" s="89"/>
    </row>
    <row r="13" spans="1:24" x14ac:dyDescent="0.2">
      <c r="A13" s="45" t="s">
        <v>97</v>
      </c>
      <c r="C13" s="200">
        <f ca="1">C12</f>
        <v>45716</v>
      </c>
      <c r="D13" s="89"/>
      <c r="F13" s="89"/>
      <c r="G13" s="90"/>
      <c r="H13" s="89"/>
      <c r="I13" s="89"/>
    </row>
    <row r="14" spans="1:24" ht="22.5" customHeight="1" x14ac:dyDescent="0.2">
      <c r="A14" s="45" t="s">
        <v>80</v>
      </c>
      <c r="D14" s="89"/>
      <c r="E14" s="140" t="s">
        <v>96</v>
      </c>
      <c r="F14" s="90" t="s">
        <v>191</v>
      </c>
      <c r="H14" s="89"/>
      <c r="I14" s="89"/>
    </row>
    <row r="15" spans="1:24" ht="15.75" customHeight="1" thickBot="1" x14ac:dyDescent="0.25">
      <c r="A15" s="45"/>
      <c r="D15" s="46"/>
      <c r="E15" s="46"/>
      <c r="F15" s="46"/>
      <c r="G15" s="46"/>
      <c r="H15" s="46"/>
      <c r="I15" s="46"/>
    </row>
    <row r="16" spans="1:24" s="82" customFormat="1" ht="15" customHeight="1" x14ac:dyDescent="0.2">
      <c r="A16" s="83" t="s">
        <v>78</v>
      </c>
      <c r="B16" s="210" t="s">
        <v>114</v>
      </c>
      <c r="C16" s="210"/>
      <c r="D16" s="210"/>
      <c r="E16" s="210"/>
      <c r="F16" s="210"/>
      <c r="G16" s="210"/>
      <c r="H16" s="210"/>
      <c r="I16" s="210"/>
      <c r="J16" s="210"/>
      <c r="K16" s="211"/>
    </row>
    <row r="17" spans="1:13" s="82" customFormat="1" ht="25.5" customHeight="1" thickBot="1" x14ac:dyDescent="0.25">
      <c r="A17" s="84"/>
      <c r="B17" s="212"/>
      <c r="C17" s="212"/>
      <c r="D17" s="212"/>
      <c r="E17" s="212"/>
      <c r="F17" s="212"/>
      <c r="G17" s="212"/>
      <c r="H17" s="212"/>
      <c r="I17" s="212"/>
      <c r="J17" s="212"/>
      <c r="K17" s="213"/>
    </row>
    <row r="18" spans="1:13" x14ac:dyDescent="0.2">
      <c r="A18" s="45"/>
    </row>
    <row r="19" spans="1:13" ht="12.75" customHeight="1" x14ac:dyDescent="0.2">
      <c r="A19" s="191" t="s">
        <v>48</v>
      </c>
      <c r="B19" s="186" t="s">
        <v>75</v>
      </c>
      <c r="C19" s="187" t="s">
        <v>25</v>
      </c>
      <c r="D19" s="188" t="s">
        <v>119</v>
      </c>
      <c r="E19" s="189">
        <f>E23+26%</f>
        <v>0.65614159834033536</v>
      </c>
      <c r="F19" s="187" t="s">
        <v>26</v>
      </c>
      <c r="G19" s="190" t="s">
        <v>181</v>
      </c>
      <c r="I19" s="45" t="s">
        <v>76</v>
      </c>
      <c r="J19" s="204" t="s">
        <v>161</v>
      </c>
      <c r="K19" s="205"/>
    </row>
    <row r="20" spans="1:13" ht="6" customHeight="1" x14ac:dyDescent="0.2">
      <c r="A20" s="191"/>
      <c r="B20" s="187"/>
      <c r="C20" s="187"/>
      <c r="D20" s="191"/>
      <c r="E20" s="187"/>
      <c r="F20" s="187"/>
      <c r="G20" s="187"/>
      <c r="J20" s="206"/>
      <c r="K20" s="207"/>
    </row>
    <row r="21" spans="1:13" x14ac:dyDescent="0.2">
      <c r="A21" s="191"/>
      <c r="B21" s="186" t="s">
        <v>75</v>
      </c>
      <c r="C21" s="187" t="s">
        <v>182</v>
      </c>
      <c r="D21" s="188" t="s">
        <v>119</v>
      </c>
      <c r="E21" s="192">
        <f>E23</f>
        <v>0.3961415983403353</v>
      </c>
      <c r="F21" s="187" t="s">
        <v>26</v>
      </c>
      <c r="G21" s="190" t="s">
        <v>181</v>
      </c>
      <c r="J21" s="206"/>
      <c r="K21" s="207"/>
    </row>
    <row r="22" spans="1:13" ht="6" customHeight="1" x14ac:dyDescent="0.2">
      <c r="A22" s="191"/>
      <c r="B22" s="187"/>
      <c r="C22" s="187"/>
      <c r="D22" s="191"/>
      <c r="E22" s="193"/>
      <c r="F22" s="187"/>
      <c r="G22" s="187"/>
      <c r="J22" s="206"/>
      <c r="K22" s="207"/>
    </row>
    <row r="23" spans="1:13" x14ac:dyDescent="0.2">
      <c r="A23" s="191"/>
      <c r="B23" s="186" t="s">
        <v>75</v>
      </c>
      <c r="C23" s="187" t="s">
        <v>183</v>
      </c>
      <c r="D23" s="188" t="s">
        <v>119</v>
      </c>
      <c r="E23" s="192">
        <f>J49</f>
        <v>0.3961415983403353</v>
      </c>
      <c r="F23" s="187" t="s">
        <v>26</v>
      </c>
      <c r="G23" s="190" t="s">
        <v>181</v>
      </c>
      <c r="J23" s="206"/>
      <c r="K23" s="207"/>
    </row>
    <row r="24" spans="1:13" x14ac:dyDescent="0.2">
      <c r="J24" s="206"/>
      <c r="K24" s="207"/>
    </row>
    <row r="25" spans="1:13" x14ac:dyDescent="0.2">
      <c r="C25" s="70"/>
      <c r="D25" s="70"/>
      <c r="E25" s="70"/>
      <c r="F25" s="70"/>
      <c r="G25" s="70"/>
      <c r="H25" s="70"/>
      <c r="I25" s="70"/>
      <c r="J25" s="208"/>
      <c r="K25" s="209"/>
      <c r="L25" s="70"/>
      <c r="M25" s="70"/>
    </row>
    <row r="26" spans="1:13" ht="15.75" x14ac:dyDescent="0.25">
      <c r="A26" s="80" t="s">
        <v>35</v>
      </c>
      <c r="B26" s="44"/>
      <c r="C26" s="72"/>
      <c r="D26" s="72"/>
      <c r="E26" s="72"/>
      <c r="F26" s="72"/>
      <c r="G26" s="72"/>
      <c r="H26" s="72"/>
      <c r="I26" s="72"/>
      <c r="J26" s="72"/>
      <c r="K26" s="72"/>
      <c r="M26" s="70"/>
    </row>
    <row r="27" spans="1:13" x14ac:dyDescent="0.2">
      <c r="B27" s="70"/>
      <c r="C27" s="70"/>
      <c r="D27" s="70"/>
      <c r="E27" s="70"/>
      <c r="F27" s="70"/>
      <c r="G27" s="70"/>
      <c r="H27" s="70"/>
      <c r="I27" s="70"/>
      <c r="J27" s="73"/>
      <c r="K27" s="70"/>
      <c r="M27" s="70"/>
    </row>
    <row r="28" spans="1:13" ht="15.75" x14ac:dyDescent="0.25">
      <c r="B28" s="70"/>
      <c r="C28" s="81" t="s">
        <v>116</v>
      </c>
      <c r="D28" s="74"/>
      <c r="E28" s="75"/>
      <c r="F28" s="78"/>
      <c r="G28" s="79"/>
      <c r="H28" s="70"/>
      <c r="I28" s="70"/>
      <c r="J28" s="76" t="s">
        <v>74</v>
      </c>
      <c r="K28" s="70"/>
      <c r="M28" s="70"/>
    </row>
    <row r="29" spans="1:13" ht="12.95" customHeight="1" x14ac:dyDescent="0.2">
      <c r="B29" s="70"/>
      <c r="C29" s="70" t="s">
        <v>50</v>
      </c>
      <c r="D29" s="70"/>
      <c r="E29" s="70"/>
      <c r="F29" s="70"/>
      <c r="G29" s="70"/>
      <c r="H29" s="70"/>
      <c r="I29" s="70"/>
      <c r="J29" s="115">
        <f>'.3 Direct Materials'!B14</f>
        <v>180500</v>
      </c>
      <c r="K29" s="70"/>
      <c r="M29" s="70"/>
    </row>
    <row r="30" spans="1:13" ht="12.95" customHeight="1" x14ac:dyDescent="0.2">
      <c r="B30" s="70"/>
      <c r="C30" s="70"/>
      <c r="D30" s="70"/>
      <c r="E30" s="70"/>
      <c r="F30" s="70"/>
      <c r="G30" s="70"/>
      <c r="H30" s="70"/>
      <c r="I30" s="70"/>
      <c r="J30" s="71"/>
      <c r="K30" s="70"/>
      <c r="M30" s="70"/>
    </row>
    <row r="31" spans="1:13" x14ac:dyDescent="0.2">
      <c r="B31" s="70"/>
      <c r="C31" s="70"/>
      <c r="D31" s="70"/>
      <c r="E31" s="70"/>
      <c r="F31" s="70"/>
      <c r="G31" s="70"/>
      <c r="I31" s="67" t="s">
        <v>72</v>
      </c>
      <c r="J31" s="116">
        <f>SUM(J29:J30)</f>
        <v>180500</v>
      </c>
      <c r="K31" s="70"/>
      <c r="M31" s="70"/>
    </row>
    <row r="32" spans="1:13" x14ac:dyDescent="0.2">
      <c r="B32" s="70"/>
      <c r="C32" s="70"/>
      <c r="D32" s="70"/>
      <c r="E32" s="70"/>
      <c r="F32" s="70"/>
      <c r="G32" s="70"/>
      <c r="H32" s="70"/>
      <c r="I32" s="70"/>
      <c r="J32" s="71"/>
      <c r="K32" s="70"/>
      <c r="M32" s="70"/>
    </row>
    <row r="33" spans="2:13" x14ac:dyDescent="0.2">
      <c r="B33" s="70"/>
      <c r="C33" s="70"/>
      <c r="D33" s="70"/>
      <c r="E33" s="70"/>
      <c r="F33" s="70"/>
      <c r="G33" s="70"/>
      <c r="H33" s="77"/>
      <c r="I33" s="70"/>
      <c r="J33" s="71"/>
      <c r="K33" s="70"/>
      <c r="M33" s="70"/>
    </row>
    <row r="34" spans="2:13" ht="15.75" x14ac:dyDescent="0.25">
      <c r="B34" s="70"/>
      <c r="C34" s="81" t="s">
        <v>117</v>
      </c>
      <c r="D34" s="78"/>
      <c r="E34" s="79"/>
      <c r="F34" s="78"/>
      <c r="G34" s="79"/>
      <c r="H34" s="77"/>
      <c r="I34" s="70"/>
      <c r="J34" s="76" t="s">
        <v>74</v>
      </c>
      <c r="K34" s="70"/>
      <c r="M34" s="70"/>
    </row>
    <row r="35" spans="2:13" ht="12.95" customHeight="1" x14ac:dyDescent="0.2">
      <c r="B35" s="70"/>
      <c r="C35" s="70" t="s">
        <v>49</v>
      </c>
      <c r="D35" s="70"/>
      <c r="E35" s="70"/>
      <c r="F35" s="70"/>
      <c r="G35" s="70"/>
      <c r="H35" s="70"/>
      <c r="I35" s="70"/>
      <c r="J35" s="115">
        <f>'.2 Direct &amp; Indirect Personnel'!H28</f>
        <v>38719.923519999997</v>
      </c>
      <c r="K35" s="70"/>
      <c r="M35" s="70"/>
    </row>
    <row r="36" spans="2:13" s="70" customFormat="1" ht="12.95" customHeight="1" x14ac:dyDescent="0.2">
      <c r="C36" s="70" t="s">
        <v>69</v>
      </c>
      <c r="J36" s="115">
        <f>'.2 Direct &amp; Indirect Personnel'!H62</f>
        <v>12347.725</v>
      </c>
    </row>
    <row r="37" spans="2:13" s="70" customFormat="1" ht="12.95" customHeight="1" x14ac:dyDescent="0.2">
      <c r="C37" s="70" t="s">
        <v>70</v>
      </c>
      <c r="J37" s="115">
        <f>'.4 Equipment Use Fee (Indirect)'!K37</f>
        <v>6935.9099804305279</v>
      </c>
    </row>
    <row r="38" spans="2:13" ht="12.95" customHeight="1" x14ac:dyDescent="0.2">
      <c r="B38" s="70"/>
      <c r="C38" s="70" t="s">
        <v>68</v>
      </c>
      <c r="D38" s="70"/>
      <c r="E38" s="70"/>
      <c r="F38" s="70"/>
      <c r="G38" s="70"/>
      <c r="H38" s="70"/>
      <c r="I38" s="70"/>
      <c r="J38" s="115">
        <f>'5 Other Direct &amp; Indirect Costs'!E14</f>
        <v>8900</v>
      </c>
      <c r="K38" s="70"/>
      <c r="M38" s="70"/>
    </row>
    <row r="39" spans="2:13" s="70" customFormat="1" ht="12.95" customHeight="1" x14ac:dyDescent="0.2">
      <c r="C39" s="70" t="s">
        <v>71</v>
      </c>
      <c r="J39" s="115">
        <f>'5 Other Direct &amp; Indirect Costs'!G37</f>
        <v>4600</v>
      </c>
    </row>
    <row r="40" spans="2:13" ht="12.95" customHeight="1" x14ac:dyDescent="0.2"/>
    <row r="41" spans="2:13" x14ac:dyDescent="0.2">
      <c r="I41" s="67" t="s">
        <v>73</v>
      </c>
      <c r="J41" s="114">
        <f>SUM(J35:J40)</f>
        <v>71503.558500430518</v>
      </c>
    </row>
    <row r="42" spans="2:13" s="70" customFormat="1" ht="11.25" x14ac:dyDescent="0.2"/>
    <row r="43" spans="2:13" s="70" customFormat="1" ht="11.25" x14ac:dyDescent="0.2">
      <c r="I43" s="96" t="s">
        <v>82</v>
      </c>
      <c r="J43" s="123">
        <f>-'.6 Lookback Analysis'!I39</f>
        <v>0</v>
      </c>
    </row>
    <row r="44" spans="2:13" s="70" customFormat="1" ht="11.25" x14ac:dyDescent="0.2">
      <c r="I44" s="96"/>
    </row>
    <row r="45" spans="2:13" s="70" customFormat="1" ht="11.25" x14ac:dyDescent="0.2">
      <c r="I45" s="77" t="s">
        <v>120</v>
      </c>
      <c r="J45" s="123">
        <f>J41+J43</f>
        <v>71503.558500430518</v>
      </c>
    </row>
    <row r="46" spans="2:13" s="70" customFormat="1" ht="11.25" x14ac:dyDescent="0.2"/>
    <row r="47" spans="2:13" s="70" customFormat="1" ht="11.25" x14ac:dyDescent="0.2">
      <c r="I47" s="77" t="s">
        <v>121</v>
      </c>
      <c r="J47" s="115">
        <f>J31</f>
        <v>180500</v>
      </c>
    </row>
    <row r="48" spans="2:13" s="70" customFormat="1" ht="11.25" x14ac:dyDescent="0.2"/>
    <row r="49" spans="1:10" ht="21" customHeight="1" thickBot="1" x14ac:dyDescent="0.3">
      <c r="F49" s="68"/>
      <c r="G49" s="68"/>
      <c r="H49" s="68"/>
      <c r="I49" s="69" t="s">
        <v>122</v>
      </c>
      <c r="J49" s="124">
        <f>IFERROR(J45/J47,0)</f>
        <v>0.3961415983403353</v>
      </c>
    </row>
    <row r="50" spans="1:10" ht="13.5" thickTop="1" x14ac:dyDescent="0.2"/>
    <row r="52" spans="1:10" x14ac:dyDescent="0.2">
      <c r="A52" s="45" t="s">
        <v>100</v>
      </c>
    </row>
    <row r="53" spans="1:10" x14ac:dyDescent="0.2">
      <c r="A53" s="45" t="s">
        <v>125</v>
      </c>
    </row>
  </sheetData>
  <mergeCells count="9">
    <mergeCell ref="J19:K25"/>
    <mergeCell ref="B16:K17"/>
    <mergeCell ref="D9:I9"/>
    <mergeCell ref="C4:D4"/>
    <mergeCell ref="D8:G8"/>
    <mergeCell ref="C5:D5"/>
    <mergeCell ref="C7:F7"/>
    <mergeCell ref="C6:D6"/>
    <mergeCell ref="D10:I10"/>
  </mergeCells>
  <pageMargins left="0.42" right="0.34" top="0.75" bottom="0.75" header="0.3" footer="0.3"/>
  <pageSetup scale="9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I79"/>
  <sheetViews>
    <sheetView showGridLines="0" workbookViewId="0">
      <selection activeCell="R24" sqref="R24"/>
    </sheetView>
  </sheetViews>
  <sheetFormatPr defaultRowHeight="11.25" x14ac:dyDescent="0.2"/>
  <cols>
    <col min="1" max="1" width="23.33203125" bestFit="1" customWidth="1"/>
    <col min="2" max="2" width="15" customWidth="1"/>
    <col min="3" max="3" width="14.83203125" style="4" customWidth="1"/>
    <col min="4" max="4" width="13.5" style="4" customWidth="1"/>
    <col min="5" max="5" width="12.33203125" style="5" customWidth="1"/>
    <col min="6" max="6" width="13.33203125" style="3" customWidth="1"/>
    <col min="7" max="7" width="13.6640625" customWidth="1"/>
    <col min="8" max="8" width="14.6640625" customWidth="1"/>
    <col min="9" max="9" width="7.5" bestFit="1" customWidth="1"/>
  </cols>
  <sheetData>
    <row r="1" spans="1:9" ht="12" x14ac:dyDescent="0.2">
      <c r="A1" s="21"/>
      <c r="I1" s="24" t="s">
        <v>64</v>
      </c>
    </row>
    <row r="2" spans="1:9" ht="12" x14ac:dyDescent="0.2">
      <c r="A2" s="23"/>
    </row>
    <row r="3" spans="1:9" ht="12.75" x14ac:dyDescent="0.2">
      <c r="A3" s="7" t="s">
        <v>4</v>
      </c>
      <c r="B3" s="8"/>
      <c r="C3" s="9"/>
      <c r="D3" s="9"/>
      <c r="E3" s="10"/>
      <c r="F3" s="11"/>
      <c r="G3" s="8"/>
      <c r="H3" s="8"/>
    </row>
    <row r="4" spans="1:9" s="13" customFormat="1" x14ac:dyDescent="0.2">
      <c r="A4" s="13" t="s">
        <v>24</v>
      </c>
      <c r="C4" s="14"/>
      <c r="D4" s="14"/>
      <c r="E4" s="15"/>
      <c r="F4" s="16"/>
    </row>
    <row r="5" spans="1:9" s="13" customFormat="1" x14ac:dyDescent="0.2">
      <c r="A5" s="98" t="s">
        <v>102</v>
      </c>
      <c r="B5" s="98"/>
      <c r="C5" s="99"/>
      <c r="D5" s="100"/>
      <c r="E5" s="101"/>
      <c r="F5" s="98"/>
      <c r="G5" s="98"/>
      <c r="H5" s="98"/>
      <c r="I5" s="98"/>
    </row>
    <row r="6" spans="1:9" s="13" customFormat="1" x14ac:dyDescent="0.2">
      <c r="A6" s="102" t="s">
        <v>103</v>
      </c>
      <c r="B6" s="98"/>
      <c r="C6" s="99"/>
      <c r="D6" s="100"/>
      <c r="E6" s="101"/>
      <c r="F6" s="98"/>
      <c r="G6" s="98"/>
      <c r="H6" s="98"/>
      <c r="I6" s="98"/>
    </row>
    <row r="7" spans="1:9" s="13" customFormat="1" x14ac:dyDescent="0.2">
      <c r="A7" s="102" t="s">
        <v>104</v>
      </c>
      <c r="B7" s="98"/>
      <c r="C7" s="99"/>
      <c r="D7" s="100"/>
      <c r="E7" s="101"/>
      <c r="F7" s="98"/>
      <c r="G7" s="98"/>
      <c r="H7" s="98"/>
      <c r="I7" s="98"/>
    </row>
    <row r="8" spans="1:9" s="13" customFormat="1" x14ac:dyDescent="0.2">
      <c r="A8" s="102" t="s">
        <v>105</v>
      </c>
      <c r="B8" s="98"/>
      <c r="C8" s="99"/>
      <c r="D8" s="100"/>
      <c r="E8" s="101"/>
      <c r="F8" s="98"/>
      <c r="G8" s="98"/>
      <c r="H8" s="98"/>
      <c r="I8" s="98"/>
    </row>
    <row r="9" spans="1:9" s="13" customFormat="1" ht="15.75" customHeight="1" x14ac:dyDescent="0.2">
      <c r="A9" s="85"/>
      <c r="B9"/>
      <c r="C9" s="4"/>
      <c r="D9" s="5"/>
      <c r="E9" s="3"/>
      <c r="F9"/>
      <c r="G9"/>
      <c r="H9"/>
      <c r="I9"/>
    </row>
    <row r="10" spans="1:9" s="13" customFormat="1" ht="12.75" x14ac:dyDescent="0.2">
      <c r="A10" s="223" t="s">
        <v>6</v>
      </c>
      <c r="B10" s="224"/>
      <c r="C10" s="224"/>
      <c r="D10" s="224"/>
      <c r="E10" s="224"/>
      <c r="F10" s="224"/>
      <c r="G10" s="224"/>
      <c r="H10" s="225"/>
    </row>
    <row r="11" spans="1:9" s="1" customFormat="1" ht="40.5" customHeight="1" x14ac:dyDescent="0.2">
      <c r="A11" s="59" t="s">
        <v>23</v>
      </c>
      <c r="B11" s="226" t="s">
        <v>2</v>
      </c>
      <c r="C11" s="227"/>
      <c r="D11" s="61" t="s">
        <v>106</v>
      </c>
      <c r="E11" s="61" t="s">
        <v>107</v>
      </c>
      <c r="F11" s="103" t="s">
        <v>98</v>
      </c>
      <c r="G11" s="62" t="s">
        <v>1</v>
      </c>
      <c r="H11" s="62" t="s">
        <v>108</v>
      </c>
    </row>
    <row r="12" spans="1:9" x14ac:dyDescent="0.2">
      <c r="A12" s="141" t="s">
        <v>11</v>
      </c>
      <c r="B12" s="141" t="s">
        <v>5</v>
      </c>
      <c r="C12" s="141"/>
      <c r="D12" s="142">
        <v>0.1</v>
      </c>
      <c r="E12" s="143">
        <v>60054</v>
      </c>
      <c r="F12" s="144">
        <v>0.38550000000000001</v>
      </c>
      <c r="G12" s="125">
        <f>(E12*(1+F12))</f>
        <v>83204.816999999995</v>
      </c>
      <c r="H12" s="126">
        <f>D12*G12</f>
        <v>8320.4817000000003</v>
      </c>
    </row>
    <row r="13" spans="1:9" x14ac:dyDescent="0.2">
      <c r="A13" s="141" t="s">
        <v>12</v>
      </c>
      <c r="B13" s="141" t="s">
        <v>14</v>
      </c>
      <c r="C13" s="141"/>
      <c r="D13" s="145">
        <v>0.2</v>
      </c>
      <c r="E13" s="143">
        <v>24347</v>
      </c>
      <c r="F13" s="146">
        <v>0.41880000000000001</v>
      </c>
      <c r="G13" s="125">
        <f>(E13*(1+F13))</f>
        <v>34543.5236</v>
      </c>
      <c r="H13" s="126">
        <f>D13*G13</f>
        <v>6908.7047200000006</v>
      </c>
    </row>
    <row r="14" spans="1:9" x14ac:dyDescent="0.2">
      <c r="A14" s="141"/>
      <c r="B14" s="141"/>
      <c r="C14" s="141"/>
      <c r="D14" s="145"/>
      <c r="E14" s="143"/>
      <c r="F14" s="146"/>
      <c r="G14" s="125"/>
      <c r="H14" s="126"/>
    </row>
    <row r="15" spans="1:9" x14ac:dyDescent="0.2">
      <c r="C15"/>
      <c r="D15" s="201" t="s">
        <v>202</v>
      </c>
      <c r="F15" s="97"/>
      <c r="G15" s="5"/>
    </row>
    <row r="16" spans="1:9" x14ac:dyDescent="0.2">
      <c r="C16" s="28"/>
      <c r="D16" s="28"/>
      <c r="F16"/>
      <c r="G16" s="27" t="s">
        <v>9</v>
      </c>
      <c r="H16" s="127">
        <f>SUM(H12:H15)</f>
        <v>15229.186420000002</v>
      </c>
    </row>
    <row r="17" spans="1:9" x14ac:dyDescent="0.2">
      <c r="C17" s="28"/>
      <c r="D17" s="28"/>
      <c r="F17" s="27"/>
      <c r="G17" s="29"/>
      <c r="H17" s="24"/>
    </row>
    <row r="18" spans="1:9" ht="15.75" customHeight="1" x14ac:dyDescent="0.2">
      <c r="C18" s="28"/>
      <c r="D18" s="28"/>
      <c r="F18" s="27"/>
      <c r="G18" s="29"/>
      <c r="H18" s="24"/>
    </row>
    <row r="19" spans="1:9" ht="12.75" x14ac:dyDescent="0.2">
      <c r="A19" s="223" t="s">
        <v>7</v>
      </c>
      <c r="B19" s="224"/>
      <c r="C19" s="224"/>
      <c r="D19" s="224"/>
      <c r="E19" s="224"/>
      <c r="F19" s="224"/>
      <c r="G19" s="224"/>
      <c r="H19" s="225"/>
    </row>
    <row r="20" spans="1:9" ht="40.5" customHeight="1" x14ac:dyDescent="0.2">
      <c r="A20" s="59" t="s">
        <v>0</v>
      </c>
      <c r="B20" s="60" t="s">
        <v>2</v>
      </c>
      <c r="C20" s="61" t="s">
        <v>32</v>
      </c>
      <c r="D20" s="61" t="s">
        <v>106</v>
      </c>
      <c r="E20" s="61" t="s">
        <v>107</v>
      </c>
      <c r="F20" s="103" t="s">
        <v>98</v>
      </c>
      <c r="G20" s="62" t="s">
        <v>1</v>
      </c>
      <c r="H20" s="62" t="s">
        <v>52</v>
      </c>
    </row>
    <row r="21" spans="1:9" x14ac:dyDescent="0.2">
      <c r="A21" s="141" t="s">
        <v>22</v>
      </c>
      <c r="B21" s="147" t="s">
        <v>13</v>
      </c>
      <c r="C21" s="148">
        <v>1080</v>
      </c>
      <c r="D21" s="145">
        <v>0.9</v>
      </c>
      <c r="E21" s="149">
        <v>22.45</v>
      </c>
      <c r="F21" s="144">
        <v>7.6499999999999999E-2</v>
      </c>
      <c r="G21" s="125">
        <f>C21*(E21*(1+F21))</f>
        <v>26100.819</v>
      </c>
      <c r="H21" s="126">
        <f>G21*D21</f>
        <v>23490.737099999998</v>
      </c>
    </row>
    <row r="22" spans="1:9" x14ac:dyDescent="0.2">
      <c r="A22" s="141"/>
      <c r="B22" s="147"/>
      <c r="C22" s="148"/>
      <c r="D22" s="145"/>
      <c r="E22" s="149"/>
      <c r="F22" s="144"/>
      <c r="G22" s="125"/>
      <c r="H22" s="126"/>
    </row>
    <row r="23" spans="1:9" x14ac:dyDescent="0.2">
      <c r="C23" s="201" t="s">
        <v>201</v>
      </c>
      <c r="D23" s="201" t="s">
        <v>202</v>
      </c>
      <c r="F23" s="31"/>
      <c r="G23" s="52"/>
    </row>
    <row r="24" spans="1:9" x14ac:dyDescent="0.2">
      <c r="F24"/>
      <c r="G24" s="27" t="s">
        <v>10</v>
      </c>
      <c r="H24" s="121">
        <f>SUM(H21:H23)</f>
        <v>23490.737099999998</v>
      </c>
    </row>
    <row r="25" spans="1:9" x14ac:dyDescent="0.2">
      <c r="F25" s="31"/>
      <c r="G25" s="30"/>
    </row>
    <row r="26" spans="1:9" x14ac:dyDescent="0.2">
      <c r="A26" s="32"/>
      <c r="B26" s="32"/>
      <c r="C26" s="33"/>
      <c r="D26" s="33"/>
      <c r="E26" s="12"/>
      <c r="F26" s="34"/>
      <c r="G26" s="35"/>
      <c r="H26" s="32"/>
    </row>
    <row r="27" spans="1:9" x14ac:dyDescent="0.2">
      <c r="F27" s="31"/>
      <c r="G27" s="30"/>
    </row>
    <row r="28" spans="1:9" ht="17.25" customHeight="1" thickBot="1" x14ac:dyDescent="0.25">
      <c r="F28"/>
      <c r="G28" s="27" t="s">
        <v>186</v>
      </c>
      <c r="H28" s="128">
        <f>H24+H16</f>
        <v>38719.923519999997</v>
      </c>
    </row>
    <row r="29" spans="1:9" ht="12" thickTop="1" x14ac:dyDescent="0.2">
      <c r="F29" s="26"/>
      <c r="G29" s="25"/>
    </row>
    <row r="30" spans="1:9" ht="12.75" x14ac:dyDescent="0.2">
      <c r="A30" s="216" t="s">
        <v>158</v>
      </c>
      <c r="B30" s="217"/>
      <c r="C30" s="217"/>
      <c r="D30" s="217"/>
      <c r="E30" s="217"/>
      <c r="F30" s="217"/>
      <c r="G30" s="217"/>
      <c r="H30" s="218"/>
    </row>
    <row r="31" spans="1:9" ht="25.5" customHeight="1" x14ac:dyDescent="0.2">
      <c r="A31" s="219" t="s">
        <v>159</v>
      </c>
      <c r="B31" s="220"/>
      <c r="C31" s="220"/>
      <c r="D31" s="220"/>
      <c r="E31" s="220"/>
      <c r="F31" s="220"/>
      <c r="G31" s="220"/>
      <c r="H31" s="221"/>
      <c r="I31" s="202" t="s">
        <v>202</v>
      </c>
    </row>
    <row r="32" spans="1:9" ht="40.5" customHeight="1" x14ac:dyDescent="0.2">
      <c r="A32" s="219" t="s">
        <v>175</v>
      </c>
      <c r="B32" s="220"/>
      <c r="C32" s="220"/>
      <c r="D32" s="220"/>
      <c r="E32" s="220"/>
      <c r="F32" s="220"/>
      <c r="G32" s="220"/>
      <c r="H32" s="221"/>
      <c r="I32" s="202" t="s">
        <v>201</v>
      </c>
    </row>
    <row r="33" spans="1:9" x14ac:dyDescent="0.2">
      <c r="F33" s="26"/>
      <c r="G33" s="5"/>
    </row>
    <row r="34" spans="1:9" x14ac:dyDescent="0.2">
      <c r="F34" s="27"/>
      <c r="G34" s="36"/>
    </row>
    <row r="35" spans="1:9" x14ac:dyDescent="0.2">
      <c r="A35" s="19"/>
      <c r="F35" s="6"/>
      <c r="G35" s="5"/>
    </row>
    <row r="36" spans="1:9" x14ac:dyDescent="0.2">
      <c r="F36" s="26"/>
      <c r="G36" s="25"/>
    </row>
    <row r="37" spans="1:9" ht="12.75" x14ac:dyDescent="0.2">
      <c r="A37" s="7" t="s">
        <v>30</v>
      </c>
      <c r="B37" s="8"/>
      <c r="C37" s="9"/>
      <c r="D37" s="9"/>
      <c r="E37" s="10"/>
      <c r="F37" s="11"/>
      <c r="G37" s="8"/>
      <c r="H37" s="8"/>
    </row>
    <row r="38" spans="1:9" s="13" customFormat="1" x14ac:dyDescent="0.2">
      <c r="A38" s="13" t="s">
        <v>24</v>
      </c>
      <c r="C38" s="14"/>
      <c r="D38" s="14"/>
      <c r="E38" s="15"/>
      <c r="F38" s="16"/>
    </row>
    <row r="39" spans="1:9" s="13" customFormat="1" x14ac:dyDescent="0.2">
      <c r="A39" s="98" t="s">
        <v>102</v>
      </c>
      <c r="B39" s="98"/>
      <c r="C39" s="99"/>
      <c r="D39" s="100"/>
      <c r="E39" s="101"/>
      <c r="F39" s="98"/>
      <c r="G39" s="98"/>
      <c r="H39" s="98"/>
      <c r="I39" s="98"/>
    </row>
    <row r="40" spans="1:9" s="13" customFormat="1" x14ac:dyDescent="0.2">
      <c r="A40" s="102" t="s">
        <v>103</v>
      </c>
      <c r="B40" s="98"/>
      <c r="C40" s="99"/>
      <c r="D40" s="100"/>
      <c r="E40" s="101"/>
      <c r="F40" s="98"/>
      <c r="G40" s="98"/>
      <c r="H40" s="98"/>
      <c r="I40" s="98"/>
    </row>
    <row r="41" spans="1:9" s="13" customFormat="1" x14ac:dyDescent="0.2">
      <c r="A41" s="102" t="s">
        <v>104</v>
      </c>
      <c r="B41" s="98"/>
      <c r="C41" s="99"/>
      <c r="D41" s="100"/>
      <c r="E41" s="101"/>
      <c r="F41" s="98"/>
      <c r="G41" s="98"/>
      <c r="H41" s="98"/>
      <c r="I41" s="98"/>
    </row>
    <row r="42" spans="1:9" s="13" customFormat="1" x14ac:dyDescent="0.2">
      <c r="A42" s="102" t="s">
        <v>105</v>
      </c>
      <c r="B42" s="98"/>
      <c r="C42" s="99"/>
      <c r="D42" s="100"/>
      <c r="E42" s="101"/>
      <c r="F42" s="98"/>
      <c r="G42" s="98"/>
      <c r="H42" s="98"/>
      <c r="I42" s="98"/>
    </row>
    <row r="43" spans="1:9" s="13" customFormat="1" ht="15.75" customHeight="1" x14ac:dyDescent="0.2">
      <c r="C43" s="14"/>
      <c r="D43" s="14"/>
      <c r="E43" s="15"/>
      <c r="F43" s="16"/>
    </row>
    <row r="44" spans="1:9" s="13" customFormat="1" ht="12.75" x14ac:dyDescent="0.2">
      <c r="A44" s="223" t="s">
        <v>66</v>
      </c>
      <c r="B44" s="224"/>
      <c r="C44" s="224"/>
      <c r="D44" s="224"/>
      <c r="E44" s="224"/>
      <c r="F44" s="224"/>
      <c r="G44" s="224"/>
      <c r="H44" s="224"/>
      <c r="I44" s="108"/>
    </row>
    <row r="45" spans="1:9" s="1" customFormat="1" ht="45" x14ac:dyDescent="0.2">
      <c r="A45" s="59" t="s">
        <v>23</v>
      </c>
      <c r="B45" s="104" t="s">
        <v>2</v>
      </c>
      <c r="C45" s="54"/>
      <c r="D45" s="61" t="s">
        <v>106</v>
      </c>
      <c r="E45" s="61" t="s">
        <v>107</v>
      </c>
      <c r="F45" s="103" t="s">
        <v>98</v>
      </c>
      <c r="G45" s="62" t="s">
        <v>1</v>
      </c>
      <c r="H45" s="62" t="s">
        <v>52</v>
      </c>
    </row>
    <row r="46" spans="1:9" x14ac:dyDescent="0.2">
      <c r="A46" s="141" t="s">
        <v>36</v>
      </c>
      <c r="B46" s="141" t="s">
        <v>31</v>
      </c>
      <c r="C46" s="142"/>
      <c r="D46" s="142">
        <v>0.1</v>
      </c>
      <c r="E46" s="143">
        <v>45000</v>
      </c>
      <c r="F46" s="144">
        <v>0.41880000000000001</v>
      </c>
      <c r="G46" s="125">
        <f>(E46*(1+F46))</f>
        <v>63846</v>
      </c>
      <c r="H46" s="126">
        <f>D46*G46</f>
        <v>6384.6</v>
      </c>
    </row>
    <row r="47" spans="1:9" x14ac:dyDescent="0.2">
      <c r="A47" s="141" t="s">
        <v>37</v>
      </c>
      <c r="B47" s="141" t="s">
        <v>40</v>
      </c>
      <c r="C47" s="145"/>
      <c r="D47" s="145">
        <v>0.05</v>
      </c>
      <c r="E47" s="143">
        <v>55000</v>
      </c>
      <c r="F47" s="146">
        <v>0.38550000000000001</v>
      </c>
      <c r="G47" s="125">
        <f>(E47*(1+F47))</f>
        <v>76202.5</v>
      </c>
      <c r="H47" s="126">
        <f>D47*G47</f>
        <v>3810.125</v>
      </c>
    </row>
    <row r="48" spans="1:9" x14ac:dyDescent="0.2">
      <c r="A48" s="141"/>
      <c r="B48" s="141"/>
      <c r="C48" s="145"/>
      <c r="D48" s="145"/>
      <c r="E48" s="143"/>
      <c r="F48" s="146"/>
      <c r="G48" s="125"/>
      <c r="H48" s="126"/>
    </row>
    <row r="49" spans="1:8" x14ac:dyDescent="0.2">
      <c r="C49" s="47"/>
      <c r="D49" s="201" t="s">
        <v>204</v>
      </c>
      <c r="F49" s="6"/>
      <c r="G49" s="5"/>
    </row>
    <row r="50" spans="1:8" x14ac:dyDescent="0.2">
      <c r="C50" s="28"/>
      <c r="D50" s="28"/>
      <c r="F50"/>
      <c r="G50" s="27" t="s">
        <v>9</v>
      </c>
      <c r="H50" s="127">
        <f>SUM(H46:H49)</f>
        <v>10194.725</v>
      </c>
    </row>
    <row r="51" spans="1:8" x14ac:dyDescent="0.2">
      <c r="C51" s="28"/>
      <c r="D51" s="28"/>
      <c r="F51" s="27"/>
      <c r="G51" s="29"/>
      <c r="H51" s="24"/>
    </row>
    <row r="52" spans="1:8" ht="15.75" customHeight="1" x14ac:dyDescent="0.2">
      <c r="C52" s="28"/>
      <c r="D52" s="28"/>
      <c r="F52" s="27"/>
      <c r="G52" s="29"/>
      <c r="H52" s="24"/>
    </row>
    <row r="53" spans="1:8" ht="12.75" x14ac:dyDescent="0.2">
      <c r="A53" s="105" t="s">
        <v>67</v>
      </c>
      <c r="B53" s="106"/>
      <c r="C53" s="106"/>
      <c r="D53" s="106"/>
      <c r="E53" s="106"/>
      <c r="F53" s="106"/>
      <c r="G53" s="106"/>
      <c r="H53" s="107"/>
    </row>
    <row r="54" spans="1:8" ht="36" customHeight="1" x14ac:dyDescent="0.2">
      <c r="A54" s="59" t="s">
        <v>0</v>
      </c>
      <c r="B54" s="62" t="s">
        <v>2</v>
      </c>
      <c r="C54" s="61" t="s">
        <v>32</v>
      </c>
      <c r="D54" s="61" t="s">
        <v>106</v>
      </c>
      <c r="E54" s="61" t="s">
        <v>8</v>
      </c>
      <c r="F54" s="103" t="s">
        <v>98</v>
      </c>
      <c r="G54" s="62" t="s">
        <v>109</v>
      </c>
      <c r="H54" s="62" t="s">
        <v>52</v>
      </c>
    </row>
    <row r="55" spans="1:8" x14ac:dyDescent="0.2">
      <c r="A55" s="141" t="s">
        <v>38</v>
      </c>
      <c r="B55" s="147" t="s">
        <v>39</v>
      </c>
      <c r="C55" s="148">
        <v>200</v>
      </c>
      <c r="D55" s="145">
        <v>1</v>
      </c>
      <c r="E55" s="149">
        <v>10</v>
      </c>
      <c r="F55" s="144">
        <v>7.6499999999999999E-2</v>
      </c>
      <c r="G55" s="125">
        <f>C55*(E55*(1+F55))</f>
        <v>2153</v>
      </c>
      <c r="H55" s="126">
        <f>D55*G55</f>
        <v>2153</v>
      </c>
    </row>
    <row r="56" spans="1:8" x14ac:dyDescent="0.2">
      <c r="A56" s="141"/>
      <c r="B56" s="147"/>
      <c r="C56" s="148"/>
      <c r="D56" s="145"/>
      <c r="E56" s="149"/>
      <c r="F56" s="144"/>
      <c r="G56" s="125"/>
      <c r="H56" s="126"/>
    </row>
    <row r="57" spans="1:8" x14ac:dyDescent="0.2">
      <c r="C57" s="201" t="s">
        <v>203</v>
      </c>
      <c r="D57" s="201" t="s">
        <v>204</v>
      </c>
      <c r="F57" s="31"/>
      <c r="G57" s="52"/>
    </row>
    <row r="58" spans="1:8" x14ac:dyDescent="0.2">
      <c r="F58"/>
      <c r="G58" s="27" t="s">
        <v>10</v>
      </c>
      <c r="H58" s="121">
        <f>SUM(H55:H57)</f>
        <v>2153</v>
      </c>
    </row>
    <row r="59" spans="1:8" x14ac:dyDescent="0.2">
      <c r="F59" s="31"/>
      <c r="G59" s="30"/>
    </row>
    <row r="60" spans="1:8" x14ac:dyDescent="0.2">
      <c r="A60" s="32"/>
      <c r="B60" s="32"/>
      <c r="C60" s="33"/>
      <c r="D60" s="33"/>
      <c r="E60" s="12"/>
      <c r="F60" s="34"/>
      <c r="G60" s="35"/>
      <c r="H60" s="32"/>
    </row>
    <row r="61" spans="1:8" x14ac:dyDescent="0.2">
      <c r="F61" s="31"/>
      <c r="G61" s="30"/>
    </row>
    <row r="62" spans="1:8" ht="12" thickBot="1" x14ac:dyDescent="0.25">
      <c r="D62" s="5"/>
      <c r="E62"/>
      <c r="F62"/>
      <c r="G62" s="27" t="s">
        <v>185</v>
      </c>
      <c r="H62" s="128">
        <f>H58+H50</f>
        <v>12347.725</v>
      </c>
    </row>
    <row r="63" spans="1:8" ht="12" thickTop="1" x14ac:dyDescent="0.2">
      <c r="D63" s="5"/>
      <c r="E63" s="3"/>
      <c r="F63"/>
    </row>
    <row r="64" spans="1:8" x14ac:dyDescent="0.2">
      <c r="A64" s="13" t="s">
        <v>110</v>
      </c>
      <c r="C64"/>
      <c r="D64"/>
      <c r="E64"/>
      <c r="F64"/>
    </row>
    <row r="65" spans="1:9" ht="24.75" customHeight="1" x14ac:dyDescent="0.2">
      <c r="A65" s="222" t="s">
        <v>111</v>
      </c>
      <c r="B65" s="222"/>
      <c r="C65" s="222"/>
      <c r="D65" s="222"/>
      <c r="E65" s="222"/>
      <c r="F65" s="222"/>
      <c r="G65" s="222"/>
      <c r="H65" s="222"/>
      <c r="I65" s="222"/>
    </row>
    <row r="66" spans="1:9" x14ac:dyDescent="0.2">
      <c r="A66" s="13" t="s">
        <v>112</v>
      </c>
      <c r="B66" s="109" t="s">
        <v>99</v>
      </c>
      <c r="C66" s="110"/>
      <c r="D66" s="111"/>
      <c r="E66" s="112" t="s">
        <v>113</v>
      </c>
      <c r="F66"/>
    </row>
    <row r="68" spans="1:9" ht="12.75" x14ac:dyDescent="0.2">
      <c r="A68" s="216" t="s">
        <v>160</v>
      </c>
      <c r="B68" s="217"/>
      <c r="C68" s="217"/>
      <c r="D68" s="217"/>
      <c r="E68" s="217"/>
      <c r="F68" s="217"/>
      <c r="G68" s="217"/>
      <c r="H68" s="218"/>
    </row>
    <row r="69" spans="1:9" ht="23.25" customHeight="1" x14ac:dyDescent="0.2">
      <c r="A69" s="219" t="s">
        <v>159</v>
      </c>
      <c r="B69" s="220"/>
      <c r="C69" s="220"/>
      <c r="D69" s="220"/>
      <c r="E69" s="220"/>
      <c r="F69" s="220"/>
      <c r="G69" s="220"/>
      <c r="H69" s="221"/>
      <c r="I69" s="202" t="s">
        <v>204</v>
      </c>
    </row>
    <row r="70" spans="1:9" ht="40.5" customHeight="1" x14ac:dyDescent="0.2">
      <c r="A70" s="219" t="s">
        <v>175</v>
      </c>
      <c r="B70" s="220"/>
      <c r="C70" s="220"/>
      <c r="D70" s="220"/>
      <c r="E70" s="220"/>
      <c r="F70" s="220"/>
      <c r="G70" s="220"/>
      <c r="H70" s="221"/>
      <c r="I70" s="202" t="s">
        <v>203</v>
      </c>
    </row>
    <row r="72" spans="1:9" ht="12.75" x14ac:dyDescent="0.2">
      <c r="A72" s="7" t="s">
        <v>184</v>
      </c>
      <c r="B72" s="8"/>
      <c r="C72" s="9"/>
      <c r="D72" s="10"/>
      <c r="E72" s="11"/>
      <c r="F72" s="8"/>
      <c r="G72" s="8"/>
    </row>
    <row r="73" spans="1:9" ht="33.75" x14ac:dyDescent="0.2">
      <c r="A73" s="59" t="s">
        <v>23</v>
      </c>
      <c r="B73" s="61" t="s">
        <v>176</v>
      </c>
      <c r="C73" s="61" t="s">
        <v>177</v>
      </c>
      <c r="D73" s="61" t="s">
        <v>178</v>
      </c>
      <c r="E73" s="61" t="s">
        <v>179</v>
      </c>
      <c r="F73" s="17"/>
      <c r="G73" s="181"/>
    </row>
    <row r="74" spans="1:9" x14ac:dyDescent="0.2">
      <c r="A74" s="185" t="str">
        <f>IF(A12=0,"",A12)</f>
        <v>Employee #1</v>
      </c>
      <c r="B74" s="184">
        <f>SUMIF($A$12:$A$67,A74,$D$12:$D$67)</f>
        <v>0.1</v>
      </c>
      <c r="C74" s="194">
        <v>1</v>
      </c>
      <c r="D74" s="182" t="str">
        <f t="shared" ref="D74:D79" si="0">IF(B74&gt;C74,"Yes","No")</f>
        <v>No</v>
      </c>
      <c r="E74" s="125" t="str">
        <f t="shared" ref="E74:E79" si="1">IF(D74="Yes","Reduce LOE utilized in rates above","OK")</f>
        <v>OK</v>
      </c>
      <c r="F74" s="17"/>
      <c r="G74" s="181"/>
    </row>
    <row r="75" spans="1:9" x14ac:dyDescent="0.2">
      <c r="A75" s="185" t="str">
        <f>IF(A13=0,"",A13)</f>
        <v>Employee #2</v>
      </c>
      <c r="B75" s="184">
        <f t="shared" ref="B75:B79" si="2">SUMIF($A$12:$A$67,A75,$D$12:$D$67)</f>
        <v>0.2</v>
      </c>
      <c r="C75" s="194">
        <v>1</v>
      </c>
      <c r="D75" s="182" t="str">
        <f t="shared" si="0"/>
        <v>No</v>
      </c>
      <c r="E75" s="125" t="str">
        <f t="shared" si="1"/>
        <v>OK</v>
      </c>
      <c r="F75"/>
    </row>
    <row r="76" spans="1:9" x14ac:dyDescent="0.2">
      <c r="A76" s="185" t="str">
        <f>IF(A21=0,"",A21)</f>
        <v>Employee #3 (on-call)</v>
      </c>
      <c r="B76" s="184">
        <f t="shared" si="2"/>
        <v>0.9</v>
      </c>
      <c r="C76" s="194">
        <v>1</v>
      </c>
      <c r="D76" s="182" t="str">
        <f t="shared" si="0"/>
        <v>No</v>
      </c>
      <c r="E76" s="125" t="str">
        <f t="shared" si="1"/>
        <v>OK</v>
      </c>
      <c r="F76"/>
    </row>
    <row r="77" spans="1:9" x14ac:dyDescent="0.2">
      <c r="A77" s="185" t="str">
        <f>IF(A46=0,"",A46)</f>
        <v>Employee #4</v>
      </c>
      <c r="B77" s="184">
        <f t="shared" si="2"/>
        <v>0.1</v>
      </c>
      <c r="C77" s="194">
        <v>1</v>
      </c>
      <c r="D77" s="182" t="str">
        <f t="shared" si="0"/>
        <v>No</v>
      </c>
      <c r="E77" s="125" t="str">
        <f t="shared" si="1"/>
        <v>OK</v>
      </c>
      <c r="F77" s="183"/>
    </row>
    <row r="78" spans="1:9" x14ac:dyDescent="0.2">
      <c r="A78" s="185" t="str">
        <f>IF(A47=0,"",A47)</f>
        <v>Employee #5</v>
      </c>
      <c r="B78" s="184">
        <f t="shared" si="2"/>
        <v>0.05</v>
      </c>
      <c r="C78" s="194">
        <v>1</v>
      </c>
      <c r="D78" s="182" t="str">
        <f t="shared" si="0"/>
        <v>No</v>
      </c>
      <c r="E78" s="125" t="str">
        <f t="shared" si="1"/>
        <v>OK</v>
      </c>
      <c r="F78" s="17"/>
      <c r="G78" s="181"/>
    </row>
    <row r="79" spans="1:9" x14ac:dyDescent="0.2">
      <c r="A79" s="185" t="str">
        <f>IF(A55=0,"",A55)</f>
        <v>Employee #6 (on-call)</v>
      </c>
      <c r="B79" s="184">
        <f t="shared" si="2"/>
        <v>1</v>
      </c>
      <c r="C79" s="194">
        <v>1</v>
      </c>
      <c r="D79" s="182" t="str">
        <f t="shared" si="0"/>
        <v>No</v>
      </c>
      <c r="E79" s="125" t="str">
        <f t="shared" si="1"/>
        <v>OK</v>
      </c>
    </row>
  </sheetData>
  <mergeCells count="11">
    <mergeCell ref="A68:H68"/>
    <mergeCell ref="A69:H69"/>
    <mergeCell ref="A70:H70"/>
    <mergeCell ref="A65:I65"/>
    <mergeCell ref="A10:H10"/>
    <mergeCell ref="A19:H19"/>
    <mergeCell ref="B11:C11"/>
    <mergeCell ref="A44:H44"/>
    <mergeCell ref="A30:H30"/>
    <mergeCell ref="A31:H31"/>
    <mergeCell ref="A32:H32"/>
  </mergeCells>
  <phoneticPr fontId="0" type="noConversion"/>
  <pageMargins left="0.25" right="0.25" top="0.5" bottom="0.25" header="0.5" footer="0.5"/>
  <pageSetup scale="9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17"/>
  <sheetViews>
    <sheetView showGridLines="0" workbookViewId="0">
      <selection activeCell="B14" sqref="B14"/>
    </sheetView>
  </sheetViews>
  <sheetFormatPr defaultRowHeight="11.25" x14ac:dyDescent="0.2"/>
  <cols>
    <col min="1" max="1" width="53.5" customWidth="1"/>
    <col min="2" max="2" width="17" customWidth="1"/>
    <col min="3" max="3" width="10.1640625" customWidth="1"/>
    <col min="4" max="4" width="10.5" bestFit="1" customWidth="1"/>
  </cols>
  <sheetData>
    <row r="1" spans="1:2" x14ac:dyDescent="0.2">
      <c r="B1" s="17" t="s">
        <v>20</v>
      </c>
    </row>
    <row r="3" spans="1:2" ht="12.75" x14ac:dyDescent="0.2">
      <c r="A3" s="57" t="s">
        <v>41</v>
      </c>
      <c r="B3" s="53"/>
    </row>
    <row r="4" spans="1:2" ht="34.5" customHeight="1" x14ac:dyDescent="0.2">
      <c r="A4" s="228" t="s">
        <v>123</v>
      </c>
      <c r="B4" s="228"/>
    </row>
    <row r="5" spans="1:2" x14ac:dyDescent="0.2">
      <c r="A5" s="48"/>
    </row>
    <row r="6" spans="1:2" ht="45" x14ac:dyDescent="0.2">
      <c r="A6" s="63" t="s">
        <v>126</v>
      </c>
      <c r="B6" s="63" t="s">
        <v>118</v>
      </c>
    </row>
    <row r="7" spans="1:2" x14ac:dyDescent="0.2">
      <c r="A7" s="141" t="s">
        <v>127</v>
      </c>
      <c r="B7" s="147">
        <v>100000</v>
      </c>
    </row>
    <row r="8" spans="1:2" x14ac:dyDescent="0.2">
      <c r="A8" s="141" t="s">
        <v>129</v>
      </c>
      <c r="B8" s="147">
        <v>40000</v>
      </c>
    </row>
    <row r="9" spans="1:2" x14ac:dyDescent="0.2">
      <c r="A9" s="141" t="s">
        <v>128</v>
      </c>
      <c r="B9" s="147">
        <v>35000</v>
      </c>
    </row>
    <row r="10" spans="1:2" x14ac:dyDescent="0.2">
      <c r="A10" s="141" t="s">
        <v>130</v>
      </c>
      <c r="B10" s="147">
        <v>5000</v>
      </c>
    </row>
    <row r="11" spans="1:2" x14ac:dyDescent="0.2">
      <c r="A11" s="141" t="s">
        <v>131</v>
      </c>
      <c r="B11" s="150">
        <v>500</v>
      </c>
    </row>
    <row r="12" spans="1:2" x14ac:dyDescent="0.2">
      <c r="A12" s="141"/>
      <c r="B12" s="150"/>
    </row>
    <row r="13" spans="1:2" x14ac:dyDescent="0.2">
      <c r="A13" s="49"/>
      <c r="B13" s="56"/>
    </row>
    <row r="14" spans="1:2" ht="17.25" customHeight="1" thickBot="1" x14ac:dyDescent="0.25">
      <c r="A14" s="17" t="s">
        <v>190</v>
      </c>
      <c r="B14" s="120">
        <f>SUM(B7:B11)</f>
        <v>180500</v>
      </c>
    </row>
    <row r="15" spans="1:2" ht="12" thickTop="1" x14ac:dyDescent="0.2">
      <c r="B15" s="20"/>
    </row>
    <row r="16" spans="1:2" x14ac:dyDescent="0.2">
      <c r="B16" s="20"/>
    </row>
    <row r="17" spans="2:2" x14ac:dyDescent="0.2">
      <c r="B17" s="20"/>
    </row>
  </sheetData>
  <mergeCells count="1">
    <mergeCell ref="A4:B4"/>
  </mergeCells>
  <pageMargins left="0.88"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M40"/>
  <sheetViews>
    <sheetView showGridLines="0" workbookViewId="0">
      <selection activeCell="J15" sqref="J15"/>
    </sheetView>
  </sheetViews>
  <sheetFormatPr defaultRowHeight="11.25" x14ac:dyDescent="0.2"/>
  <cols>
    <col min="1" max="1" width="23.33203125" customWidth="1"/>
    <col min="2" max="2" width="14.33203125" customWidth="1"/>
    <col min="3" max="3" width="13.83203125" customWidth="1"/>
    <col min="4" max="4" width="11" customWidth="1"/>
    <col min="5" max="5" width="10.6640625" customWidth="1"/>
    <col min="6" max="9" width="11.1640625" customWidth="1"/>
    <col min="11" max="11" width="10.5" bestFit="1" customWidth="1"/>
  </cols>
  <sheetData>
    <row r="1" spans="1:13" ht="12" x14ac:dyDescent="0.2">
      <c r="A1" s="22"/>
      <c r="B1" s="22"/>
      <c r="C1" s="22"/>
      <c r="K1" s="37"/>
      <c r="L1" s="24" t="s">
        <v>21</v>
      </c>
    </row>
    <row r="2" spans="1:13" ht="12" x14ac:dyDescent="0.2">
      <c r="A2" s="23"/>
      <c r="B2" s="23"/>
      <c r="C2" s="23"/>
      <c r="K2" s="37"/>
    </row>
    <row r="3" spans="1:13" ht="12.75" x14ac:dyDescent="0.2">
      <c r="A3" s="239" t="s">
        <v>51</v>
      </c>
      <c r="B3" s="239"/>
      <c r="C3" s="239"/>
      <c r="D3" s="239"/>
      <c r="E3" s="239"/>
      <c r="F3" s="239"/>
      <c r="G3" s="239"/>
      <c r="H3" s="239"/>
      <c r="I3" s="239"/>
      <c r="J3" s="239"/>
      <c r="K3" s="239"/>
      <c r="L3" s="239"/>
      <c r="M3" s="85"/>
    </row>
    <row r="4" spans="1:13" x14ac:dyDescent="0.2">
      <c r="A4" s="13" t="s">
        <v>65</v>
      </c>
      <c r="B4" s="13"/>
      <c r="C4" s="13"/>
      <c r="K4" s="37"/>
    </row>
    <row r="5" spans="1:13" x14ac:dyDescent="0.2">
      <c r="A5" s="172" t="s">
        <v>170</v>
      </c>
      <c r="K5" s="37"/>
    </row>
    <row r="7" spans="1:13" ht="12.75" x14ac:dyDescent="0.2">
      <c r="A7" s="223" t="s">
        <v>169</v>
      </c>
      <c r="B7" s="224"/>
      <c r="C7" s="224"/>
      <c r="D7" s="224"/>
      <c r="E7" s="224"/>
      <c r="F7" s="224"/>
      <c r="G7" s="224"/>
      <c r="H7" s="224"/>
      <c r="I7" s="224"/>
      <c r="J7" s="224"/>
      <c r="K7" s="225"/>
    </row>
    <row r="8" spans="1:13" s="40" customFormat="1" ht="45" x14ac:dyDescent="0.2">
      <c r="A8" s="2" t="s">
        <v>3</v>
      </c>
      <c r="B8" s="2" t="s">
        <v>132</v>
      </c>
      <c r="C8" s="2" t="s">
        <v>134</v>
      </c>
      <c r="D8" s="2" t="s">
        <v>17</v>
      </c>
      <c r="E8" s="2" t="s">
        <v>18</v>
      </c>
      <c r="F8" s="2" t="s">
        <v>19</v>
      </c>
      <c r="G8" s="2" t="s">
        <v>165</v>
      </c>
      <c r="H8" s="2" t="s">
        <v>166</v>
      </c>
      <c r="I8" s="2" t="s">
        <v>167</v>
      </c>
      <c r="J8" s="54" t="s">
        <v>101</v>
      </c>
      <c r="K8" s="18" t="s">
        <v>52</v>
      </c>
    </row>
    <row r="9" spans="1:13" s="49" customFormat="1" x14ac:dyDescent="0.2">
      <c r="A9" s="141" t="s">
        <v>42</v>
      </c>
      <c r="B9" s="141" t="s">
        <v>133</v>
      </c>
      <c r="C9" s="141" t="s">
        <v>33</v>
      </c>
      <c r="D9" s="151">
        <v>15000</v>
      </c>
      <c r="E9" s="152">
        <v>7</v>
      </c>
      <c r="F9" s="129">
        <f>IFERROR(+D9/E9,0)</f>
        <v>2142.8571428571427</v>
      </c>
      <c r="G9" s="170">
        <v>42614</v>
      </c>
      <c r="H9" s="171">
        <f>IF((('.1 Cover'!$C$4-G9)/365)&gt;E9,E9,('.1 Cover'!$C$4-G9)/365)</f>
        <v>6.2465753424657535</v>
      </c>
      <c r="I9" s="171">
        <f>IF((E9-H9)&lt;0,0,E9-H9)</f>
        <v>0.75342465753424648</v>
      </c>
      <c r="J9" s="153">
        <v>1</v>
      </c>
      <c r="K9" s="130">
        <f>IF(I9&lt;1,F9*I9*J9,F9*J9)</f>
        <v>1614.4814090019565</v>
      </c>
    </row>
    <row r="10" spans="1:13" s="49" customFormat="1" x14ac:dyDescent="0.2">
      <c r="A10" s="141" t="s">
        <v>56</v>
      </c>
      <c r="B10" s="141" t="s">
        <v>133</v>
      </c>
      <c r="C10" s="141" t="s">
        <v>33</v>
      </c>
      <c r="D10" s="151">
        <v>10000</v>
      </c>
      <c r="E10" s="152">
        <v>7</v>
      </c>
      <c r="F10" s="129">
        <f>IFERROR(+D10/E10,0)</f>
        <v>1428.5714285714287</v>
      </c>
      <c r="G10" s="170">
        <v>43344</v>
      </c>
      <c r="H10" s="171">
        <f>IF((('.1 Cover'!$C$4-G10)/365)&gt;E10,E10,('.1 Cover'!$C$4-G10)/365)</f>
        <v>4.2465753424657535</v>
      </c>
      <c r="I10" s="171">
        <f>IF((E10-H10)&lt;0,0,E10-H10)</f>
        <v>2.7534246575342465</v>
      </c>
      <c r="J10" s="153">
        <v>0.05</v>
      </c>
      <c r="K10" s="130">
        <f>IF(I10&lt;1,F10*I10*J10,F10*J10)</f>
        <v>71.428571428571431</v>
      </c>
    </row>
    <row r="11" spans="1:13" s="49" customFormat="1" x14ac:dyDescent="0.2">
      <c r="A11" s="141" t="s">
        <v>43</v>
      </c>
      <c r="B11" s="141" t="s">
        <v>133</v>
      </c>
      <c r="C11" s="141" t="s">
        <v>33</v>
      </c>
      <c r="D11" s="151">
        <v>25000</v>
      </c>
      <c r="E11" s="152">
        <v>7</v>
      </c>
      <c r="F11" s="129">
        <f>IFERROR(+D11/E11,0)</f>
        <v>3571.4285714285716</v>
      </c>
      <c r="G11" s="170">
        <v>43739</v>
      </c>
      <c r="H11" s="171">
        <f>IF((('.1 Cover'!$C$4-G11)/365)&gt;E11,E11,('.1 Cover'!$C$4-G11)/365)</f>
        <v>3.1643835616438358</v>
      </c>
      <c r="I11" s="171">
        <f>IF((E11-H11)&lt;0,0,E11-H11)</f>
        <v>3.8356164383561642</v>
      </c>
      <c r="J11" s="153">
        <v>0.5</v>
      </c>
      <c r="K11" s="130">
        <f>IF(I11&lt;1,F11*I11*J11,F11*J11)</f>
        <v>1785.7142857142858</v>
      </c>
    </row>
    <row r="12" spans="1:13" s="49" customFormat="1" x14ac:dyDescent="0.2">
      <c r="A12" s="141" t="s">
        <v>44</v>
      </c>
      <c r="B12" s="141" t="s">
        <v>133</v>
      </c>
      <c r="C12" s="141" t="s">
        <v>33</v>
      </c>
      <c r="D12" s="151">
        <v>5000</v>
      </c>
      <c r="E12" s="152">
        <v>7</v>
      </c>
      <c r="F12" s="129">
        <f>IFERROR(+D12/E12,0)</f>
        <v>714.28571428571433</v>
      </c>
      <c r="G12" s="170">
        <v>44531</v>
      </c>
      <c r="H12" s="171">
        <f>IF((('.1 Cover'!$C$4-G12)/365)&gt;E12,E12,('.1 Cover'!$C$4-G12)/365)</f>
        <v>0.9945205479452055</v>
      </c>
      <c r="I12" s="171">
        <f>IF((E12-H12)&lt;0,0,E12-H12)</f>
        <v>6.0054794520547947</v>
      </c>
      <c r="J12" s="153">
        <v>1</v>
      </c>
      <c r="K12" s="130">
        <f>IF(I12&lt;1,F12*I12*J12,F12*J12)</f>
        <v>714.28571428571433</v>
      </c>
    </row>
    <row r="13" spans="1:13" s="49" customFormat="1" x14ac:dyDescent="0.2">
      <c r="A13" s="141" t="s">
        <v>45</v>
      </c>
      <c r="B13" s="141" t="s">
        <v>133</v>
      </c>
      <c r="C13" s="141" t="s">
        <v>33</v>
      </c>
      <c r="D13" s="151">
        <v>5250</v>
      </c>
      <c r="E13" s="152">
        <v>5</v>
      </c>
      <c r="F13" s="129">
        <f>IFERROR(+D13/E13,0)</f>
        <v>1050</v>
      </c>
      <c r="G13" s="170">
        <v>42156</v>
      </c>
      <c r="H13" s="171">
        <f>IF((('.1 Cover'!$C$4-G13)/365)&gt;E13,E13,('.1 Cover'!$C$4-G13)/365)</f>
        <v>5</v>
      </c>
      <c r="I13" s="171">
        <f>IF((E13-H13)&lt;0,0,E13-H13)</f>
        <v>0</v>
      </c>
      <c r="J13" s="153">
        <v>0.8</v>
      </c>
      <c r="K13" s="130">
        <f>IF(I13&lt;1,F13*I13*J13,F13*J13)</f>
        <v>0</v>
      </c>
    </row>
    <row r="14" spans="1:13" s="49" customFormat="1" x14ac:dyDescent="0.2">
      <c r="A14" s="141"/>
      <c r="B14" s="141"/>
      <c r="C14" s="141"/>
      <c r="D14" s="151"/>
      <c r="E14" s="152"/>
      <c r="F14" s="129"/>
      <c r="G14" s="170"/>
      <c r="H14" s="171"/>
      <c r="I14" s="171"/>
      <c r="J14" s="153"/>
      <c r="K14" s="130"/>
    </row>
    <row r="15" spans="1:13" x14ac:dyDescent="0.2">
      <c r="D15" s="41"/>
      <c r="E15" s="3"/>
      <c r="F15" s="41"/>
      <c r="G15" s="41"/>
      <c r="H15" s="41"/>
      <c r="I15" s="41"/>
      <c r="J15" s="201" t="s">
        <v>202</v>
      </c>
    </row>
    <row r="16" spans="1:13" s="24" customFormat="1" ht="11.25" customHeight="1" x14ac:dyDescent="0.2">
      <c r="D16" s="42"/>
      <c r="J16" s="17" t="s">
        <v>168</v>
      </c>
      <c r="K16" s="131">
        <f>SUM(K9:K15)</f>
        <v>4185.9099804305279</v>
      </c>
    </row>
    <row r="17" spans="1:11" x14ac:dyDescent="0.2">
      <c r="A17" s="32"/>
      <c r="B17" s="32"/>
      <c r="C17" s="32"/>
      <c r="D17" s="39"/>
      <c r="E17" s="32"/>
      <c r="F17" s="32"/>
      <c r="G17" s="32"/>
      <c r="H17" s="32"/>
      <c r="I17" s="32"/>
      <c r="J17" s="32"/>
      <c r="K17" s="32"/>
    </row>
    <row r="18" spans="1:11" x14ac:dyDescent="0.2">
      <c r="D18" s="37"/>
    </row>
    <row r="19" spans="1:11" x14ac:dyDescent="0.2">
      <c r="D19" s="37"/>
    </row>
    <row r="20" spans="1:11" x14ac:dyDescent="0.2">
      <c r="D20" s="37"/>
    </row>
    <row r="21" spans="1:11" ht="12.75" x14ac:dyDescent="0.2">
      <c r="A21" s="223" t="s">
        <v>46</v>
      </c>
      <c r="B21" s="224"/>
      <c r="C21" s="224"/>
      <c r="D21" s="224"/>
      <c r="E21" s="224"/>
      <c r="F21" s="224"/>
      <c r="G21" s="224"/>
      <c r="H21" s="224"/>
      <c r="I21" s="224"/>
      <c r="J21" s="224"/>
      <c r="K21" s="225"/>
    </row>
    <row r="22" spans="1:11" ht="45" x14ac:dyDescent="0.2">
      <c r="A22" s="229" t="s">
        <v>126</v>
      </c>
      <c r="B22" s="229"/>
      <c r="C22" s="229"/>
      <c r="D22" s="229"/>
      <c r="E22" s="229"/>
      <c r="F22" s="2"/>
      <c r="G22" s="2"/>
      <c r="H22" s="2"/>
      <c r="I22" s="2" t="s">
        <v>19</v>
      </c>
      <c r="J22" s="54" t="s">
        <v>101</v>
      </c>
      <c r="K22" s="18" t="s">
        <v>52</v>
      </c>
    </row>
    <row r="23" spans="1:11" s="49" customFormat="1" x14ac:dyDescent="0.2">
      <c r="A23" s="141" t="s">
        <v>135</v>
      </c>
      <c r="B23" s="141"/>
      <c r="C23" s="141"/>
      <c r="D23" s="154"/>
      <c r="E23" s="141"/>
      <c r="F23" s="151"/>
      <c r="G23" s="151"/>
      <c r="H23" s="151"/>
      <c r="I23" s="151">
        <v>2000</v>
      </c>
      <c r="J23" s="155">
        <v>0.8</v>
      </c>
      <c r="K23" s="132">
        <f>I23*J23</f>
        <v>1600</v>
      </c>
    </row>
    <row r="24" spans="1:11" s="49" customFormat="1" x14ac:dyDescent="0.2">
      <c r="A24" s="141" t="s">
        <v>136</v>
      </c>
      <c r="B24" s="141"/>
      <c r="C24" s="141"/>
      <c r="D24" s="154"/>
      <c r="E24" s="141"/>
      <c r="F24" s="154"/>
      <c r="G24" s="154"/>
      <c r="H24" s="154"/>
      <c r="I24" s="154">
        <v>1000</v>
      </c>
      <c r="J24" s="153">
        <v>1</v>
      </c>
      <c r="K24" s="129">
        <f>I24*J24</f>
        <v>1000</v>
      </c>
    </row>
    <row r="25" spans="1:11" s="49" customFormat="1" x14ac:dyDescent="0.2">
      <c r="A25" s="141" t="s">
        <v>137</v>
      </c>
      <c r="B25" s="141"/>
      <c r="C25" s="141"/>
      <c r="D25" s="154"/>
      <c r="E25" s="141"/>
      <c r="F25" s="154"/>
      <c r="G25" s="154"/>
      <c r="H25" s="154"/>
      <c r="I25" s="154">
        <v>3000</v>
      </c>
      <c r="J25" s="153">
        <v>0.05</v>
      </c>
      <c r="K25" s="129">
        <f>I25*J25</f>
        <v>150</v>
      </c>
    </row>
    <row r="26" spans="1:11" s="49" customFormat="1" x14ac:dyDescent="0.2">
      <c r="A26" s="141"/>
      <c r="B26" s="141"/>
      <c r="C26" s="141"/>
      <c r="D26" s="154"/>
      <c r="E26" s="141"/>
      <c r="F26" s="154"/>
      <c r="G26" s="154"/>
      <c r="H26" s="154"/>
      <c r="I26" s="154"/>
      <c r="J26" s="153"/>
      <c r="K26" s="129"/>
    </row>
    <row r="27" spans="1:11" x14ac:dyDescent="0.2">
      <c r="D27" s="37"/>
      <c r="J27" s="201" t="s">
        <v>202</v>
      </c>
    </row>
    <row r="28" spans="1:11" x14ac:dyDescent="0.2">
      <c r="D28" s="37"/>
      <c r="J28" s="17" t="s">
        <v>57</v>
      </c>
      <c r="K28" s="131">
        <f>SUM(K23:K27)</f>
        <v>2750</v>
      </c>
    </row>
    <row r="29" spans="1:11" x14ac:dyDescent="0.2">
      <c r="A29" s="32"/>
      <c r="B29" s="32"/>
      <c r="C29" s="32"/>
      <c r="D29" s="39"/>
      <c r="E29" s="32"/>
      <c r="F29" s="32"/>
      <c r="G29" s="32"/>
      <c r="H29" s="32"/>
      <c r="I29" s="32"/>
      <c r="J29" s="32"/>
      <c r="K29" s="32"/>
    </row>
    <row r="30" spans="1:11" x14ac:dyDescent="0.2">
      <c r="D30" s="37"/>
    </row>
    <row r="31" spans="1:11" x14ac:dyDescent="0.2">
      <c r="D31" s="37"/>
    </row>
    <row r="32" spans="1:11" x14ac:dyDescent="0.2">
      <c r="A32" s="24" t="s">
        <v>61</v>
      </c>
      <c r="B32" s="24"/>
      <c r="C32" s="24"/>
      <c r="J32" s="37"/>
    </row>
    <row r="33" spans="1:12" ht="20.100000000000001" customHeight="1" x14ac:dyDescent="0.2">
      <c r="D33" s="230" t="s">
        <v>174</v>
      </c>
      <c r="E33" s="231"/>
      <c r="F33" s="231"/>
      <c r="G33" s="231"/>
      <c r="H33" s="231"/>
      <c r="I33" s="231"/>
      <c r="J33" s="231"/>
      <c r="K33" s="232"/>
    </row>
    <row r="34" spans="1:12" ht="20.100000000000001" customHeight="1" x14ac:dyDescent="0.2">
      <c r="D34" s="233"/>
      <c r="E34" s="234"/>
      <c r="F34" s="234"/>
      <c r="G34" s="234"/>
      <c r="H34" s="234"/>
      <c r="I34" s="234"/>
      <c r="J34" s="234"/>
      <c r="K34" s="235"/>
      <c r="L34" s="202" t="s">
        <v>202</v>
      </c>
    </row>
    <row r="35" spans="1:12" ht="20.100000000000001" customHeight="1" x14ac:dyDescent="0.2">
      <c r="D35" s="236"/>
      <c r="E35" s="237"/>
      <c r="F35" s="237"/>
      <c r="G35" s="237"/>
      <c r="H35" s="237"/>
      <c r="I35" s="237"/>
      <c r="J35" s="237"/>
      <c r="K35" s="238"/>
    </row>
    <row r="36" spans="1:12" x14ac:dyDescent="0.2">
      <c r="D36" s="37"/>
    </row>
    <row r="37" spans="1:12" ht="15.75" customHeight="1" thickBot="1" x14ac:dyDescent="0.25">
      <c r="A37" s="24"/>
      <c r="B37" s="24"/>
      <c r="C37" s="24"/>
      <c r="D37" s="42"/>
      <c r="J37" s="17" t="s">
        <v>189</v>
      </c>
      <c r="K37" s="133">
        <f>+K16+K28</f>
        <v>6935.9099804305279</v>
      </c>
    </row>
    <row r="38" spans="1:12" ht="12" thickTop="1" x14ac:dyDescent="0.2">
      <c r="D38" s="37"/>
    </row>
    <row r="39" spans="1:12" x14ac:dyDescent="0.2">
      <c r="D39" s="37"/>
    </row>
    <row r="40" spans="1:12" x14ac:dyDescent="0.2">
      <c r="D40" s="37"/>
    </row>
  </sheetData>
  <mergeCells count="5">
    <mergeCell ref="A22:E22"/>
    <mergeCell ref="A7:K7"/>
    <mergeCell ref="A21:K21"/>
    <mergeCell ref="D33:K35"/>
    <mergeCell ref="A3:L3"/>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I38"/>
  <sheetViews>
    <sheetView showGridLines="0" workbookViewId="0">
      <selection activeCell="F22" sqref="F22"/>
    </sheetView>
  </sheetViews>
  <sheetFormatPr defaultRowHeight="11.25" x14ac:dyDescent="0.2"/>
  <cols>
    <col min="4" max="4" width="29.5" customWidth="1"/>
    <col min="5" max="5" width="12.83203125" style="37" customWidth="1"/>
    <col min="6" max="6" width="11.33203125" customWidth="1"/>
    <col min="7" max="7" width="10.6640625" customWidth="1"/>
  </cols>
  <sheetData>
    <row r="1" spans="1:9" ht="12" x14ac:dyDescent="0.2">
      <c r="A1" s="22"/>
      <c r="I1" s="24" t="s">
        <v>79</v>
      </c>
    </row>
    <row r="2" spans="1:9" ht="12" x14ac:dyDescent="0.2">
      <c r="A2" s="23"/>
    </row>
    <row r="3" spans="1:9" ht="12.75" x14ac:dyDescent="0.2">
      <c r="A3" s="239" t="s">
        <v>62</v>
      </c>
      <c r="B3" s="239"/>
      <c r="C3" s="239"/>
      <c r="D3" s="239"/>
      <c r="E3" s="239"/>
      <c r="F3" s="239"/>
      <c r="G3" s="239"/>
      <c r="H3" s="239"/>
      <c r="I3" s="239"/>
    </row>
    <row r="4" spans="1:9" x14ac:dyDescent="0.2">
      <c r="A4" s="13" t="s">
        <v>47</v>
      </c>
    </row>
    <row r="5" spans="1:9" x14ac:dyDescent="0.2">
      <c r="E5" s="38"/>
    </row>
    <row r="6" spans="1:9" ht="22.5" x14ac:dyDescent="0.2">
      <c r="A6" s="240" t="s">
        <v>126</v>
      </c>
      <c r="B6" s="241"/>
      <c r="C6" s="241"/>
      <c r="D6" s="242"/>
      <c r="E6" s="65" t="s">
        <v>60</v>
      </c>
    </row>
    <row r="7" spans="1:9" x14ac:dyDescent="0.2">
      <c r="A7" s="141" t="s">
        <v>138</v>
      </c>
      <c r="B7" s="141"/>
      <c r="C7" s="141"/>
      <c r="D7" s="156"/>
      <c r="E7" s="147">
        <v>2500</v>
      </c>
    </row>
    <row r="8" spans="1:9" x14ac:dyDescent="0.2">
      <c r="A8" s="141" t="s">
        <v>139</v>
      </c>
      <c r="B8" s="141"/>
      <c r="C8" s="141"/>
      <c r="D8" s="156"/>
      <c r="E8" s="147">
        <v>1200</v>
      </c>
    </row>
    <row r="9" spans="1:9" x14ac:dyDescent="0.2">
      <c r="A9" s="141" t="s">
        <v>140</v>
      </c>
      <c r="B9" s="141"/>
      <c r="C9" s="141"/>
      <c r="D9" s="156"/>
      <c r="E9" s="147">
        <v>1200</v>
      </c>
    </row>
    <row r="10" spans="1:9" x14ac:dyDescent="0.2">
      <c r="A10" s="141" t="s">
        <v>141</v>
      </c>
      <c r="B10" s="141"/>
      <c r="C10" s="141"/>
      <c r="D10" s="156"/>
      <c r="E10" s="147">
        <v>1500</v>
      </c>
    </row>
    <row r="11" spans="1:9" x14ac:dyDescent="0.2">
      <c r="A11" s="141" t="s">
        <v>142</v>
      </c>
      <c r="B11" s="141"/>
      <c r="C11" s="141"/>
      <c r="D11" s="156"/>
      <c r="E11" s="150">
        <v>2500</v>
      </c>
    </row>
    <row r="12" spans="1:9" x14ac:dyDescent="0.2">
      <c r="A12" s="141"/>
      <c r="B12" s="141"/>
      <c r="C12" s="141"/>
      <c r="D12" s="156"/>
      <c r="E12" s="150"/>
    </row>
    <row r="13" spans="1:9" x14ac:dyDescent="0.2">
      <c r="E13" s="20"/>
    </row>
    <row r="14" spans="1:9" ht="18.75" customHeight="1" thickBot="1" x14ac:dyDescent="0.25">
      <c r="D14" s="17" t="s">
        <v>188</v>
      </c>
      <c r="E14" s="120">
        <f>SUM(E7:E13)</f>
        <v>8900</v>
      </c>
    </row>
    <row r="15" spans="1:9" ht="12" thickTop="1" x14ac:dyDescent="0.2"/>
    <row r="16" spans="1:9" x14ac:dyDescent="0.2">
      <c r="A16" s="64"/>
      <c r="B16" s="64"/>
      <c r="C16" s="64"/>
      <c r="D16" s="64"/>
      <c r="E16" s="51"/>
      <c r="F16" s="64"/>
      <c r="G16" s="64"/>
      <c r="H16" s="64"/>
      <c r="I16" s="64"/>
    </row>
    <row r="20" spans="1:9" ht="12.75" x14ac:dyDescent="0.2">
      <c r="A20" s="239" t="s">
        <v>63</v>
      </c>
      <c r="B20" s="239"/>
      <c r="C20" s="239"/>
      <c r="D20" s="239"/>
      <c r="E20" s="239"/>
      <c r="F20" s="239"/>
      <c r="G20" s="239"/>
      <c r="H20" s="239"/>
      <c r="I20" s="239"/>
    </row>
    <row r="21" spans="1:9" x14ac:dyDescent="0.2">
      <c r="A21" s="13" t="s">
        <v>58</v>
      </c>
    </row>
    <row r="22" spans="1:9" x14ac:dyDescent="0.2">
      <c r="E22" s="38"/>
      <c r="F22" s="203" t="s">
        <v>202</v>
      </c>
    </row>
    <row r="23" spans="1:9" ht="45" x14ac:dyDescent="0.2">
      <c r="A23" s="240" t="s">
        <v>3</v>
      </c>
      <c r="B23" s="241"/>
      <c r="C23" s="241"/>
      <c r="D23" s="242"/>
      <c r="E23" s="65" t="s">
        <v>60</v>
      </c>
      <c r="F23" s="62" t="s">
        <v>101</v>
      </c>
      <c r="G23" s="62" t="s">
        <v>52</v>
      </c>
    </row>
    <row r="24" spans="1:9" x14ac:dyDescent="0.2">
      <c r="A24" s="141" t="s">
        <v>16</v>
      </c>
      <c r="B24" s="141"/>
      <c r="C24" s="141"/>
      <c r="D24" s="141"/>
      <c r="E24" s="147">
        <v>1200</v>
      </c>
      <c r="F24" s="153">
        <v>0.25</v>
      </c>
      <c r="G24" s="130">
        <f t="shared" ref="G24:G29" si="0">E24*F24</f>
        <v>300</v>
      </c>
    </row>
    <row r="25" spans="1:9" x14ac:dyDescent="0.2">
      <c r="A25" s="141" t="s">
        <v>173</v>
      </c>
      <c r="B25" s="141"/>
      <c r="C25" s="141"/>
      <c r="D25" s="141"/>
      <c r="E25" s="147">
        <v>300</v>
      </c>
      <c r="F25" s="153">
        <v>0.25</v>
      </c>
      <c r="G25" s="130">
        <f t="shared" si="0"/>
        <v>75</v>
      </c>
    </row>
    <row r="26" spans="1:9" x14ac:dyDescent="0.2">
      <c r="A26" s="141" t="s">
        <v>54</v>
      </c>
      <c r="B26" s="141"/>
      <c r="C26" s="141"/>
      <c r="D26" s="141"/>
      <c r="E26" s="147">
        <v>7000</v>
      </c>
      <c r="F26" s="153">
        <v>0.25</v>
      </c>
      <c r="G26" s="130">
        <f t="shared" si="0"/>
        <v>1750</v>
      </c>
    </row>
    <row r="27" spans="1:9" x14ac:dyDescent="0.2">
      <c r="A27" s="141" t="s">
        <v>53</v>
      </c>
      <c r="B27" s="141"/>
      <c r="C27" s="141"/>
      <c r="D27" s="141"/>
      <c r="E27" s="147">
        <v>2000</v>
      </c>
      <c r="F27" s="153">
        <v>0.25</v>
      </c>
      <c r="G27" s="130">
        <f t="shared" si="0"/>
        <v>500</v>
      </c>
    </row>
    <row r="28" spans="1:9" x14ac:dyDescent="0.2">
      <c r="A28" s="141" t="s">
        <v>55</v>
      </c>
      <c r="B28" s="141"/>
      <c r="C28" s="141"/>
      <c r="D28" s="141"/>
      <c r="E28" s="147">
        <v>400</v>
      </c>
      <c r="F28" s="153">
        <v>0.25</v>
      </c>
      <c r="G28" s="130">
        <f t="shared" si="0"/>
        <v>100</v>
      </c>
    </row>
    <row r="29" spans="1:9" x14ac:dyDescent="0.2">
      <c r="A29" s="141" t="s">
        <v>59</v>
      </c>
      <c r="B29" s="141"/>
      <c r="C29" s="141"/>
      <c r="D29" s="141"/>
      <c r="E29" s="150">
        <v>7500</v>
      </c>
      <c r="F29" s="153">
        <v>0.25</v>
      </c>
      <c r="G29" s="130">
        <f t="shared" si="0"/>
        <v>1875</v>
      </c>
    </row>
    <row r="30" spans="1:9" x14ac:dyDescent="0.2">
      <c r="A30" s="141"/>
      <c r="B30" s="141"/>
      <c r="C30" s="141"/>
      <c r="D30" s="141"/>
      <c r="E30" s="150"/>
      <c r="F30" s="153"/>
      <c r="G30" s="130"/>
    </row>
    <row r="31" spans="1:9" x14ac:dyDescent="0.2">
      <c r="E31" s="55"/>
    </row>
    <row r="32" spans="1:9" x14ac:dyDescent="0.2">
      <c r="A32" s="24" t="s">
        <v>61</v>
      </c>
    </row>
    <row r="33" spans="1:9" ht="20.100000000000001" customHeight="1" x14ac:dyDescent="0.2">
      <c r="B33" s="230" t="s">
        <v>172</v>
      </c>
      <c r="C33" s="231"/>
      <c r="D33" s="231"/>
      <c r="E33" s="231"/>
      <c r="F33" s="231"/>
      <c r="G33" s="232"/>
    </row>
    <row r="34" spans="1:9" ht="20.100000000000001" customHeight="1" x14ac:dyDescent="0.2">
      <c r="B34" s="233"/>
      <c r="C34" s="234"/>
      <c r="D34" s="234"/>
      <c r="E34" s="234"/>
      <c r="F34" s="234"/>
      <c r="G34" s="235"/>
      <c r="H34" s="202" t="s">
        <v>202</v>
      </c>
    </row>
    <row r="35" spans="1:9" ht="20.100000000000001" customHeight="1" x14ac:dyDescent="0.2">
      <c r="B35" s="236"/>
      <c r="C35" s="237"/>
      <c r="D35" s="237"/>
      <c r="E35" s="237"/>
      <c r="F35" s="237"/>
      <c r="G35" s="238"/>
    </row>
    <row r="36" spans="1:9" x14ac:dyDescent="0.2">
      <c r="B36" s="58"/>
      <c r="C36" s="58"/>
      <c r="D36" s="58"/>
      <c r="E36" s="58"/>
      <c r="F36" s="58"/>
      <c r="G36" s="58"/>
    </row>
    <row r="37" spans="1:9" ht="18.75" customHeight="1" thickBot="1" x14ac:dyDescent="0.25">
      <c r="F37" s="17" t="s">
        <v>187</v>
      </c>
      <c r="G37" s="120">
        <f>SUM(G24:G32)</f>
        <v>4600</v>
      </c>
    </row>
    <row r="38" spans="1:9" ht="12" thickTop="1" x14ac:dyDescent="0.2">
      <c r="A38" s="32"/>
      <c r="B38" s="32"/>
      <c r="C38" s="32"/>
      <c r="D38" s="32"/>
      <c r="E38" s="39"/>
      <c r="F38" s="32"/>
      <c r="G38" s="32"/>
      <c r="H38" s="32"/>
      <c r="I38" s="32"/>
    </row>
  </sheetData>
  <mergeCells count="5">
    <mergeCell ref="A3:I3"/>
    <mergeCell ref="A6:D6"/>
    <mergeCell ref="A20:I20"/>
    <mergeCell ref="A23:D23"/>
    <mergeCell ref="B33:G35"/>
  </mergeCells>
  <phoneticPr fontId="0" type="noConversion"/>
  <pageMargins left="0.75" right="0.6"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M49"/>
  <sheetViews>
    <sheetView showGridLines="0" tabSelected="1" topLeftCell="A13" workbookViewId="0">
      <selection activeCell="J33" sqref="J33"/>
    </sheetView>
  </sheetViews>
  <sheetFormatPr defaultColWidth="9.33203125" defaultRowHeight="11.25" x14ac:dyDescent="0.2"/>
  <cols>
    <col min="1" max="1" width="9.33203125" style="70"/>
    <col min="2" max="2" width="13.5" style="70" customWidth="1"/>
    <col min="3" max="3" width="6.1640625" style="70" customWidth="1"/>
    <col min="4" max="4" width="12.6640625" style="70" customWidth="1"/>
    <col min="5" max="7" width="9.33203125" style="70"/>
    <col min="8" max="8" width="20.83203125" style="70" customWidth="1"/>
    <col min="9" max="9" width="14.1640625" style="70" bestFit="1" customWidth="1"/>
    <col min="10" max="10" width="12.1640625" style="70" customWidth="1"/>
    <col min="11" max="11" width="10.6640625" style="70" customWidth="1"/>
    <col min="12" max="12" width="9.33203125" style="70"/>
    <col min="13" max="13" width="11.33203125" style="70" bestFit="1" customWidth="1"/>
    <col min="14" max="16384" width="9.33203125" style="70"/>
  </cols>
  <sheetData>
    <row r="1" spans="1:9" ht="12.75" x14ac:dyDescent="0.2">
      <c r="A1" s="91" t="s">
        <v>81</v>
      </c>
      <c r="B1" s="91"/>
      <c r="C1" s="91"/>
      <c r="D1" s="91"/>
      <c r="E1" s="91"/>
      <c r="F1" s="91"/>
      <c r="G1" s="91"/>
      <c r="H1" s="45"/>
      <c r="I1" s="45" t="s">
        <v>83</v>
      </c>
    </row>
    <row r="2" spans="1:9" ht="12.75" x14ac:dyDescent="0.2">
      <c r="A2" s="45"/>
      <c r="B2" s="45"/>
      <c r="C2" s="45"/>
      <c r="D2" s="45"/>
      <c r="E2" s="45"/>
      <c r="F2" s="45"/>
      <c r="G2" s="45"/>
      <c r="H2" s="45"/>
      <c r="I2" s="45"/>
    </row>
    <row r="3" spans="1:9" s="43" customFormat="1" ht="32.25" customHeight="1" x14ac:dyDescent="0.2">
      <c r="A3" s="253" t="s">
        <v>84</v>
      </c>
      <c r="B3" s="253"/>
      <c r="C3" s="253"/>
      <c r="D3" s="253"/>
      <c r="E3" s="253"/>
      <c r="F3" s="253"/>
      <c r="G3" s="253"/>
      <c r="H3" s="253"/>
      <c r="I3" s="253"/>
    </row>
    <row r="4" spans="1:9" s="43" customFormat="1" ht="18.75" customHeight="1" x14ac:dyDescent="0.2">
      <c r="A4" s="134" t="s">
        <v>148</v>
      </c>
    </row>
    <row r="5" spans="1:9" s="43" customFormat="1" ht="62.25" customHeight="1" x14ac:dyDescent="0.2">
      <c r="A5" s="253" t="s">
        <v>149</v>
      </c>
      <c r="B5" s="253"/>
      <c r="C5" s="253"/>
      <c r="D5" s="253"/>
      <c r="E5" s="253"/>
      <c r="F5" s="253"/>
      <c r="G5" s="253"/>
      <c r="H5" s="253"/>
      <c r="I5" s="253"/>
    </row>
    <row r="6" spans="1:9" s="43" customFormat="1" ht="34.5" customHeight="1" x14ac:dyDescent="0.2">
      <c r="A6" s="253" t="s">
        <v>171</v>
      </c>
      <c r="B6" s="253"/>
      <c r="C6" s="253"/>
      <c r="D6" s="253"/>
      <c r="E6" s="253"/>
      <c r="F6" s="253"/>
      <c r="G6" s="253"/>
      <c r="H6" s="253"/>
      <c r="I6" s="253"/>
    </row>
    <row r="7" spans="1:9" s="43" customFormat="1" ht="33" customHeight="1" x14ac:dyDescent="0.2">
      <c r="A7" s="253" t="s">
        <v>85</v>
      </c>
      <c r="B7" s="253"/>
      <c r="C7" s="253"/>
      <c r="D7" s="253"/>
      <c r="E7" s="253"/>
      <c r="F7" s="253"/>
      <c r="G7" s="253"/>
      <c r="H7" s="253"/>
      <c r="I7" s="253"/>
    </row>
    <row r="8" spans="1:9" s="43" customFormat="1" ht="12.75" x14ac:dyDescent="0.2">
      <c r="A8" s="254" t="s">
        <v>91</v>
      </c>
      <c r="B8" s="254"/>
      <c r="C8" s="254"/>
      <c r="D8" s="254"/>
      <c r="E8" s="254"/>
      <c r="F8" s="254"/>
      <c r="G8" s="254"/>
      <c r="H8" s="254"/>
      <c r="I8" s="254"/>
    </row>
    <row r="9" spans="1:9" s="43" customFormat="1" ht="12.75" x14ac:dyDescent="0.2">
      <c r="A9" s="94"/>
      <c r="B9" s="94"/>
      <c r="C9" s="94"/>
      <c r="D9" s="94"/>
      <c r="E9" s="94"/>
      <c r="F9" s="94"/>
      <c r="G9" s="94"/>
      <c r="H9" s="94"/>
      <c r="I9" s="94"/>
    </row>
    <row r="10" spans="1:9" s="43" customFormat="1" ht="12.75" x14ac:dyDescent="0.2">
      <c r="A10" s="94"/>
      <c r="B10" s="94"/>
      <c r="C10" s="94"/>
      <c r="D10" s="94"/>
      <c r="E10" s="94"/>
      <c r="F10" s="94"/>
      <c r="G10" s="94"/>
      <c r="H10" s="94"/>
      <c r="I10" s="94"/>
    </row>
    <row r="11" spans="1:9" s="43" customFormat="1" ht="13.5" customHeight="1" x14ac:dyDescent="0.2">
      <c r="A11" s="95" t="s">
        <v>94</v>
      </c>
      <c r="B11" s="95"/>
      <c r="D11" s="94"/>
      <c r="F11" s="94"/>
      <c r="G11" s="94"/>
      <c r="H11" s="94"/>
      <c r="I11" s="94"/>
    </row>
    <row r="12" spans="1:9" s="43" customFormat="1" ht="2.25" customHeight="1" x14ac:dyDescent="0.2">
      <c r="A12" s="95"/>
      <c r="B12" s="95"/>
      <c r="D12" s="94"/>
      <c r="F12" s="94"/>
      <c r="G12" s="94"/>
      <c r="H12" s="94"/>
      <c r="I12" s="94"/>
    </row>
    <row r="13" spans="1:9" s="43" customFormat="1" ht="12.75" x14ac:dyDescent="0.2">
      <c r="A13" s="94" t="s">
        <v>92</v>
      </c>
      <c r="B13" s="173">
        <v>44378</v>
      </c>
      <c r="C13" s="94" t="s">
        <v>93</v>
      </c>
      <c r="D13" s="173">
        <v>44742</v>
      </c>
      <c r="E13" s="94"/>
      <c r="F13" s="94"/>
      <c r="G13" s="94"/>
      <c r="H13" s="94"/>
      <c r="I13" s="94"/>
    </row>
    <row r="14" spans="1:9" s="43" customFormat="1" ht="12.75" x14ac:dyDescent="0.2">
      <c r="A14" s="113" t="s">
        <v>115</v>
      </c>
      <c r="B14" s="113"/>
      <c r="C14" s="113"/>
      <c r="D14" s="113"/>
      <c r="E14" s="113"/>
      <c r="F14" s="113"/>
      <c r="G14" s="113"/>
      <c r="H14" s="113"/>
      <c r="I14" s="113"/>
    </row>
    <row r="15" spans="1:9" s="43" customFormat="1" ht="12.75" x14ac:dyDescent="0.2"/>
    <row r="16" spans="1:9" s="43" customFormat="1" ht="15" x14ac:dyDescent="0.25">
      <c r="A16" s="135" t="s">
        <v>150</v>
      </c>
    </row>
    <row r="17" spans="1:13" s="43" customFormat="1" ht="12.75" x14ac:dyDescent="0.2">
      <c r="I17" s="198" t="s">
        <v>15</v>
      </c>
    </row>
    <row r="18" spans="1:13" s="43" customFormat="1" ht="12.75" x14ac:dyDescent="0.2">
      <c r="A18" s="43" t="s">
        <v>86</v>
      </c>
      <c r="I18" s="174">
        <v>328059.09000000003</v>
      </c>
    </row>
    <row r="19" spans="1:13" s="43" customFormat="1" ht="12.75" x14ac:dyDescent="0.2">
      <c r="A19" s="43" t="s">
        <v>87</v>
      </c>
      <c r="I19" s="175">
        <v>-8842.3700000000008</v>
      </c>
    </row>
    <row r="20" spans="1:13" s="43" customFormat="1" ht="12.75" x14ac:dyDescent="0.2">
      <c r="H20" s="66" t="s">
        <v>89</v>
      </c>
      <c r="I20" s="118">
        <f>SUM(I18:I19)</f>
        <v>319216.72000000003</v>
      </c>
    </row>
    <row r="21" spans="1:13" ht="12.75" x14ac:dyDescent="0.2">
      <c r="A21" s="43"/>
      <c r="I21" s="93"/>
    </row>
    <row r="22" spans="1:13" ht="15" x14ac:dyDescent="0.25">
      <c r="A22" s="135" t="s">
        <v>151</v>
      </c>
    </row>
    <row r="23" spans="1:13" s="43" customFormat="1" ht="12.75" x14ac:dyDescent="0.2">
      <c r="I23" s="198" t="s">
        <v>15</v>
      </c>
    </row>
    <row r="24" spans="1:13" s="43" customFormat="1" ht="12.75" x14ac:dyDescent="0.2">
      <c r="A24" s="138" t="s">
        <v>152</v>
      </c>
      <c r="I24" s="174">
        <v>288097.08</v>
      </c>
    </row>
    <row r="25" spans="1:13" s="43" customFormat="1" ht="12.75" x14ac:dyDescent="0.2">
      <c r="I25" s="92"/>
    </row>
    <row r="26" spans="1:13" s="43" customFormat="1" ht="12.75" x14ac:dyDescent="0.2">
      <c r="H26" s="66" t="s">
        <v>88</v>
      </c>
      <c r="I26" s="119">
        <f>SUM(I24:I25)</f>
        <v>288097.08</v>
      </c>
    </row>
    <row r="27" spans="1:13" s="43" customFormat="1" ht="12.75" x14ac:dyDescent="0.2">
      <c r="I27" s="92"/>
    </row>
    <row r="28" spans="1:13" s="43" customFormat="1" ht="12.75" x14ac:dyDescent="0.2">
      <c r="I28" s="92"/>
    </row>
    <row r="29" spans="1:13" s="43" customFormat="1" ht="12.75" x14ac:dyDescent="0.2">
      <c r="H29" s="66" t="s">
        <v>90</v>
      </c>
      <c r="I29" s="118">
        <f>I20-I26</f>
        <v>31119.640000000014</v>
      </c>
    </row>
    <row r="30" spans="1:13" s="43" customFormat="1" ht="38.25" x14ac:dyDescent="0.2">
      <c r="A30" s="252" t="s">
        <v>146</v>
      </c>
      <c r="B30" s="252"/>
      <c r="C30" s="252"/>
      <c r="D30" s="252"/>
      <c r="E30" s="252"/>
      <c r="F30" s="252"/>
      <c r="G30" s="252"/>
      <c r="H30" s="252"/>
      <c r="I30" s="174">
        <v>36144.83</v>
      </c>
      <c r="J30" s="137" t="s">
        <v>143</v>
      </c>
      <c r="K30"/>
      <c r="L30"/>
      <c r="M30"/>
    </row>
    <row r="31" spans="1:13" s="43" customFormat="1" ht="12.75" x14ac:dyDescent="0.2">
      <c r="H31" s="67" t="s">
        <v>192</v>
      </c>
      <c r="I31" s="119">
        <f>I29+I30</f>
        <v>67264.470000000016</v>
      </c>
      <c r="J31" s="255">
        <f>IFERROR(I31/$I$26,0)</f>
        <v>0.23347848579374705</v>
      </c>
      <c r="K31" s="45" t="str">
        <f>IF(AND(I31&gt;0,J31&gt;10%),"Surplus must be factored into rate calculation per billing rate policy","Surplus less than 10% of annual operating expenses/(Deficit) can be factored into the rate but is not required")</f>
        <v>Surplus must be factored into rate calculation per billing rate policy</v>
      </c>
    </row>
    <row r="32" spans="1:13" s="43" customFormat="1" ht="12.75" x14ac:dyDescent="0.2">
      <c r="H32" s="66" t="s">
        <v>193</v>
      </c>
      <c r="I32" s="256">
        <f>IF(J31&gt;10%,I26*0.1,0)</f>
        <v>28809.708000000002</v>
      </c>
      <c r="J32" s="139">
        <f>IFERROR(I32/$I$26,0)</f>
        <v>0.1</v>
      </c>
    </row>
    <row r="33" spans="1:11" s="43" customFormat="1" ht="12.75" x14ac:dyDescent="0.2">
      <c r="H33" s="67" t="s">
        <v>194</v>
      </c>
      <c r="I33" s="195">
        <f>I31-I32</f>
        <v>38454.762000000017</v>
      </c>
    </row>
    <row r="34" spans="1:11" s="43" customFormat="1" ht="12.75" x14ac:dyDescent="0.2">
      <c r="H34" s="66"/>
      <c r="I34" s="136"/>
    </row>
    <row r="35" spans="1:11" s="43" customFormat="1" ht="12.75" x14ac:dyDescent="0.2">
      <c r="D35" s="70"/>
      <c r="E35" s="70"/>
      <c r="F35" s="70"/>
      <c r="G35" s="70"/>
      <c r="H35" s="66" t="s">
        <v>195</v>
      </c>
      <c r="I35" s="176">
        <v>60000</v>
      </c>
      <c r="J35" s="139">
        <f>IFERROR(+I35/SUM('.1 Cover'!$J$31,'.1 Cover'!$J$41),0)</f>
        <v>0.23809187599189199</v>
      </c>
    </row>
    <row r="36" spans="1:11" s="43" customFormat="1" ht="12.75" x14ac:dyDescent="0.2">
      <c r="D36" s="70"/>
      <c r="E36" s="70"/>
      <c r="F36" s="70"/>
      <c r="G36" s="70"/>
      <c r="H36" s="67"/>
      <c r="I36" s="196"/>
    </row>
    <row r="37" spans="1:11" s="43" customFormat="1" ht="12.75" x14ac:dyDescent="0.2">
      <c r="D37" s="70"/>
      <c r="E37" s="70"/>
      <c r="F37" s="70"/>
      <c r="G37" s="70"/>
      <c r="H37" s="67" t="s">
        <v>196</v>
      </c>
      <c r="I37" s="197">
        <f>IF(I33&gt;I35,I33-I35,IF(I31&lt;0,I33,I33-I33))</f>
        <v>0</v>
      </c>
      <c r="J37" s="139">
        <f>IFERROR(+I37/SUM('.1 Cover'!$J$31,'.1 Cover'!$J$41),0)</f>
        <v>0</v>
      </c>
      <c r="K37" s="45" t="str">
        <f>IF(AND(I37&gt;0,J37&gt;10%),"Surplus must be factored into rate calculation per billing rate policy","Surplus less than 10% of annual operating expenses/(Deficit) can be factored into the rate but is not required")</f>
        <v>Surplus less than 10% of annual operating expenses/(Deficit) can be factored into the rate but is not required</v>
      </c>
    </row>
    <row r="38" spans="1:11" s="43" customFormat="1" ht="12.75" x14ac:dyDescent="0.2">
      <c r="D38" s="70"/>
      <c r="E38" s="70"/>
      <c r="F38" s="70"/>
      <c r="G38" s="70"/>
      <c r="H38" s="17" t="s">
        <v>197</v>
      </c>
      <c r="I38" s="180">
        <v>1</v>
      </c>
      <c r="J38" s="202" t="s">
        <v>202</v>
      </c>
    </row>
    <row r="39" spans="1:11" ht="13.5" thickBot="1" x14ac:dyDescent="0.25">
      <c r="H39" s="17" t="s">
        <v>198</v>
      </c>
      <c r="I39" s="122">
        <f>I37*I38</f>
        <v>0</v>
      </c>
    </row>
    <row r="40" spans="1:11" ht="12.75" thickTop="1" thickBot="1" x14ac:dyDescent="0.25"/>
    <row r="41" spans="1:11" ht="13.5" thickBot="1" x14ac:dyDescent="0.25">
      <c r="A41" s="177" t="s">
        <v>144</v>
      </c>
      <c r="B41" s="178"/>
      <c r="C41" s="178"/>
      <c r="D41" s="178"/>
      <c r="E41" s="178"/>
      <c r="F41" s="178"/>
      <c r="G41" s="178"/>
      <c r="H41" s="178"/>
      <c r="I41" s="179"/>
    </row>
    <row r="42" spans="1:11" ht="11.25" customHeight="1" x14ac:dyDescent="0.2">
      <c r="A42" s="243" t="s">
        <v>145</v>
      </c>
      <c r="B42" s="244"/>
      <c r="C42" s="244"/>
      <c r="D42" s="244"/>
      <c r="E42" s="244"/>
      <c r="F42" s="244"/>
      <c r="G42" s="244"/>
      <c r="H42" s="244"/>
      <c r="I42" s="245"/>
    </row>
    <row r="43" spans="1:11" x14ac:dyDescent="0.2">
      <c r="A43" s="246"/>
      <c r="B43" s="247"/>
      <c r="C43" s="247"/>
      <c r="D43" s="247"/>
      <c r="E43" s="247"/>
      <c r="F43" s="247"/>
      <c r="G43" s="247"/>
      <c r="H43" s="247"/>
      <c r="I43" s="248"/>
    </row>
    <row r="44" spans="1:11" x14ac:dyDescent="0.2">
      <c r="A44" s="246"/>
      <c r="B44" s="247"/>
      <c r="C44" s="247"/>
      <c r="D44" s="247"/>
      <c r="E44" s="247"/>
      <c r="F44" s="247"/>
      <c r="G44" s="247"/>
      <c r="H44" s="247"/>
      <c r="I44" s="248"/>
    </row>
    <row r="45" spans="1:11" x14ac:dyDescent="0.2">
      <c r="A45" s="246"/>
      <c r="B45" s="247"/>
      <c r="C45" s="247"/>
      <c r="D45" s="247"/>
      <c r="E45" s="247"/>
      <c r="F45" s="247"/>
      <c r="G45" s="247"/>
      <c r="H45" s="247"/>
      <c r="I45" s="248"/>
      <c r="J45" s="202" t="s">
        <v>202</v>
      </c>
    </row>
    <row r="46" spans="1:11" x14ac:dyDescent="0.2">
      <c r="A46" s="246"/>
      <c r="B46" s="247"/>
      <c r="C46" s="247"/>
      <c r="D46" s="247"/>
      <c r="E46" s="247"/>
      <c r="F46" s="247"/>
      <c r="G46" s="247"/>
      <c r="H46" s="247"/>
      <c r="I46" s="248"/>
    </row>
    <row r="47" spans="1:11" x14ac:dyDescent="0.2">
      <c r="A47" s="246"/>
      <c r="B47" s="247"/>
      <c r="C47" s="247"/>
      <c r="D47" s="247"/>
      <c r="E47" s="247"/>
      <c r="F47" s="247"/>
      <c r="G47" s="247"/>
      <c r="H47" s="247"/>
      <c r="I47" s="248"/>
    </row>
    <row r="48" spans="1:11" x14ac:dyDescent="0.2">
      <c r="A48" s="246"/>
      <c r="B48" s="247"/>
      <c r="C48" s="247"/>
      <c r="D48" s="247"/>
      <c r="E48" s="247"/>
      <c r="F48" s="247"/>
      <c r="G48" s="247"/>
      <c r="H48" s="247"/>
      <c r="I48" s="248"/>
    </row>
    <row r="49" spans="1:9" ht="12" thickBot="1" x14ac:dyDescent="0.25">
      <c r="A49" s="249"/>
      <c r="B49" s="250"/>
      <c r="C49" s="250"/>
      <c r="D49" s="250"/>
      <c r="E49" s="250"/>
      <c r="F49" s="250"/>
      <c r="G49" s="250"/>
      <c r="H49" s="250"/>
      <c r="I49" s="251"/>
    </row>
  </sheetData>
  <mergeCells count="7">
    <mergeCell ref="A42:I49"/>
    <mergeCell ref="A30:H30"/>
    <mergeCell ref="A3:I3"/>
    <mergeCell ref="A5:I5"/>
    <mergeCell ref="A7:I7"/>
    <mergeCell ref="A8:I8"/>
    <mergeCell ref="A6:I6"/>
  </mergeCells>
  <pageMargins left="0.7" right="0.7" top="0.75" bottom="0.75"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.1 Cover</vt:lpstr>
      <vt:lpstr>.2 Direct &amp; Indirect Personnel</vt:lpstr>
      <vt:lpstr>.3 Direct Materials</vt:lpstr>
      <vt:lpstr>.4 Equipment Use Fee (Indirect)</vt:lpstr>
      <vt:lpstr>5 Other Direct &amp; Indirect Costs</vt:lpstr>
      <vt:lpstr>.6 Lookback Analysis</vt:lpstr>
      <vt:lpstr>'.1 Cover'!Print_Area</vt:lpstr>
      <vt:lpstr>'.2 Direct &amp; Indirect Personnel'!Print_Area</vt:lpstr>
      <vt:lpstr>'.3 Direct Materials'!Print_Area</vt:lpstr>
      <vt:lpstr>'.6 Lookback Analysis'!Print_Area</vt:lpstr>
      <vt:lpstr>'5 Other Direct &amp; Indirect Costs'!Print_Area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Controller's Office</dc:creator>
  <cp:lastModifiedBy>Mills, Ian</cp:lastModifiedBy>
  <cp:lastPrinted>2011-11-02T16:56:33Z</cp:lastPrinted>
  <dcterms:created xsi:type="dcterms:W3CDTF">2007-10-18T17:01:47Z</dcterms:created>
  <dcterms:modified xsi:type="dcterms:W3CDTF">2025-02-28T21:44:16Z</dcterms:modified>
</cp:coreProperties>
</file>