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X:\A-Z\PS 244Q\Energy\Report\2024-04\"/>
    </mc:Choice>
  </mc:AlternateContent>
  <xr:revisionPtr revIDLastSave="0" documentId="13_ncr:1_{106A721F-B91B-4FC2-9FB1-A5DABF46F537}" xr6:coauthVersionLast="47" xr6:coauthVersionMax="47" xr10:uidLastSave="{00000000-0000-0000-0000-000000000000}"/>
  <bookViews>
    <workbookView xWindow="-120" yWindow="-120" windowWidth="38640" windowHeight="21240" activeTab="1" xr2:uid="{E7078B37-A2A4-4AEA-B3FD-D42CCCB63A60}"/>
  </bookViews>
  <sheets>
    <sheet name="Basic Info" sheetId="9" r:id="rId1"/>
    <sheet name="Results" sheetId="1" r:id="rId2"/>
    <sheet name="Capital Planning Information" sheetId="24" r:id="rId3"/>
    <sheet name="Calcs and References" sheetId="5" r:id="rId4"/>
    <sheet name="Proposed Design" sheetId="2" r:id="rId5"/>
    <sheet name="LL51 Baseline" sheetId="25" r:id="rId6"/>
    <sheet name="Existing Building Baseline" sheetId="6" r:id="rId7"/>
    <sheet name="EEM1" sheetId="7" r:id="rId8"/>
    <sheet name="EEM2" sheetId="10" r:id="rId9"/>
    <sheet name="EEM3" sheetId="11" r:id="rId10"/>
    <sheet name="EEM4" sheetId="12" r:id="rId11"/>
    <sheet name="EEM5" sheetId="13" r:id="rId12"/>
    <sheet name="EEM6" sheetId="14" r:id="rId13"/>
    <sheet name="EEM7" sheetId="15" r:id="rId14"/>
    <sheet name="EEM8" sheetId="16" r:id="rId15"/>
    <sheet name="EEM9" sheetId="17" r:id="rId16"/>
    <sheet name="EEM10" sheetId="18" r:id="rId17"/>
    <sheet name="EEM11" sheetId="19" r:id="rId18"/>
    <sheet name="EEM12" sheetId="20" r:id="rId19"/>
    <sheet name="EEM13" sheetId="21" r:id="rId20"/>
    <sheet name="EEM14" sheetId="22" r:id="rId21"/>
    <sheet name="EEM15" sheetId="23" r:id="rId2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 i="25" l="1"/>
  <c r="P7" i="25"/>
  <c r="P8" i="25"/>
  <c r="P6" i="13"/>
  <c r="P7" i="13"/>
  <c r="P8" i="13"/>
  <c r="P6" i="2"/>
  <c r="P7" i="2"/>
  <c r="P8" i="2"/>
  <c r="P5" i="2"/>
  <c r="O33" i="6" l="1"/>
  <c r="N33" i="6"/>
  <c r="M33" i="6"/>
  <c r="L33" i="6"/>
  <c r="K33" i="6"/>
  <c r="J33" i="6"/>
  <c r="I33" i="6"/>
  <c r="H33" i="6"/>
  <c r="G33" i="6"/>
  <c r="F33" i="6"/>
  <c r="E33" i="6"/>
  <c r="D33" i="6"/>
  <c r="C33" i="6"/>
  <c r="O32" i="6"/>
  <c r="N32" i="6"/>
  <c r="M32" i="6"/>
  <c r="L32" i="6"/>
  <c r="K32" i="6"/>
  <c r="J32" i="6"/>
  <c r="I32" i="6"/>
  <c r="H32" i="6"/>
  <c r="G32" i="6"/>
  <c r="Q32" i="6" s="1"/>
  <c r="F32" i="6"/>
  <c r="E32" i="6"/>
  <c r="D32" i="6"/>
  <c r="C32" i="6"/>
  <c r="O31" i="6"/>
  <c r="N31" i="6"/>
  <c r="M31" i="6"/>
  <c r="L31" i="6"/>
  <c r="K31" i="6"/>
  <c r="J31" i="6"/>
  <c r="I31" i="6"/>
  <c r="H31" i="6"/>
  <c r="G31" i="6"/>
  <c r="F31" i="6"/>
  <c r="E31" i="6"/>
  <c r="D31" i="6"/>
  <c r="C31" i="6"/>
  <c r="O30" i="6"/>
  <c r="N30" i="6"/>
  <c r="M30" i="6"/>
  <c r="L30" i="6"/>
  <c r="K30" i="6"/>
  <c r="J30" i="6"/>
  <c r="I30" i="6"/>
  <c r="H30" i="6"/>
  <c r="G30" i="6"/>
  <c r="F30" i="6"/>
  <c r="E30" i="6"/>
  <c r="D30" i="6"/>
  <c r="C30" i="6"/>
  <c r="O29" i="6"/>
  <c r="N29" i="6"/>
  <c r="M29" i="6"/>
  <c r="L29" i="6"/>
  <c r="K29" i="6"/>
  <c r="J29" i="6"/>
  <c r="I29" i="6"/>
  <c r="H29" i="6"/>
  <c r="G29" i="6"/>
  <c r="F29" i="6"/>
  <c r="E29" i="6"/>
  <c r="D29" i="6"/>
  <c r="C29" i="6"/>
  <c r="O28" i="6"/>
  <c r="N28" i="6"/>
  <c r="M28" i="6"/>
  <c r="L28" i="6"/>
  <c r="K28" i="6"/>
  <c r="J28" i="6"/>
  <c r="I28" i="6"/>
  <c r="H28" i="6"/>
  <c r="G28" i="6"/>
  <c r="Q28" i="6" s="1"/>
  <c r="F28" i="6"/>
  <c r="E28" i="6"/>
  <c r="D28" i="6"/>
  <c r="C28" i="6"/>
  <c r="O27" i="6"/>
  <c r="N27" i="6"/>
  <c r="M27" i="6"/>
  <c r="L27" i="6"/>
  <c r="K27" i="6"/>
  <c r="J27" i="6"/>
  <c r="I27" i="6"/>
  <c r="H27" i="6"/>
  <c r="G27" i="6"/>
  <c r="F27" i="6"/>
  <c r="E27" i="6"/>
  <c r="D27" i="6"/>
  <c r="C27" i="6"/>
  <c r="O26" i="6"/>
  <c r="N26" i="6"/>
  <c r="M26" i="6"/>
  <c r="L26" i="6"/>
  <c r="K26" i="6"/>
  <c r="J26" i="6"/>
  <c r="I26" i="6"/>
  <c r="H26" i="6"/>
  <c r="G26" i="6"/>
  <c r="F26" i="6"/>
  <c r="E26" i="6"/>
  <c r="D26" i="6"/>
  <c r="C26" i="6"/>
  <c r="C27" i="2"/>
  <c r="D27" i="2"/>
  <c r="E27" i="2"/>
  <c r="F27" i="2"/>
  <c r="G27" i="2"/>
  <c r="H27" i="2"/>
  <c r="I27" i="2"/>
  <c r="J27" i="2"/>
  <c r="K27" i="2"/>
  <c r="L27" i="2"/>
  <c r="M27" i="2"/>
  <c r="N27" i="2"/>
  <c r="O27" i="2"/>
  <c r="C28" i="2"/>
  <c r="D28" i="2"/>
  <c r="E28" i="2"/>
  <c r="F28" i="2"/>
  <c r="G28" i="2"/>
  <c r="H28" i="2"/>
  <c r="I28" i="2"/>
  <c r="J28" i="2"/>
  <c r="K28" i="2"/>
  <c r="L28" i="2"/>
  <c r="M28" i="2"/>
  <c r="N28" i="2"/>
  <c r="O28" i="2"/>
  <c r="C29" i="2"/>
  <c r="D29" i="2"/>
  <c r="E29" i="2"/>
  <c r="F29" i="2"/>
  <c r="G29" i="2"/>
  <c r="H29" i="2"/>
  <c r="I29" i="2"/>
  <c r="J29" i="2"/>
  <c r="K29" i="2"/>
  <c r="L29" i="2"/>
  <c r="M29" i="2"/>
  <c r="N29" i="2"/>
  <c r="O29" i="2"/>
  <c r="C30" i="2"/>
  <c r="D30" i="2"/>
  <c r="E30" i="2"/>
  <c r="F30" i="2"/>
  <c r="G30" i="2"/>
  <c r="H30" i="2"/>
  <c r="I30" i="2"/>
  <c r="J30" i="2"/>
  <c r="K30" i="2"/>
  <c r="L30" i="2"/>
  <c r="M30" i="2"/>
  <c r="N30" i="2"/>
  <c r="O30" i="2"/>
  <c r="C31" i="2"/>
  <c r="D31" i="2"/>
  <c r="E31" i="2"/>
  <c r="F31" i="2"/>
  <c r="G31" i="2"/>
  <c r="H31" i="2"/>
  <c r="I31" i="2"/>
  <c r="J31" i="2"/>
  <c r="K31" i="2"/>
  <c r="L31" i="2"/>
  <c r="M31" i="2"/>
  <c r="N31" i="2"/>
  <c r="O31" i="2"/>
  <c r="C32" i="2"/>
  <c r="D32" i="2"/>
  <c r="E32" i="2"/>
  <c r="F32" i="2"/>
  <c r="G32" i="2"/>
  <c r="H32" i="2"/>
  <c r="I32" i="2"/>
  <c r="J32" i="2"/>
  <c r="K32" i="2"/>
  <c r="L32" i="2"/>
  <c r="M32" i="2"/>
  <c r="N32" i="2"/>
  <c r="O32" i="2"/>
  <c r="C33" i="2"/>
  <c r="D33" i="2"/>
  <c r="E33" i="2"/>
  <c r="F33" i="2"/>
  <c r="G33" i="2"/>
  <c r="H33" i="2"/>
  <c r="I33" i="2"/>
  <c r="J33" i="2"/>
  <c r="K33" i="2"/>
  <c r="L33" i="2"/>
  <c r="M33" i="2"/>
  <c r="N33" i="2"/>
  <c r="O33" i="2"/>
  <c r="D26" i="2"/>
  <c r="E26" i="2"/>
  <c r="F26" i="2"/>
  <c r="G26" i="2"/>
  <c r="H26" i="2"/>
  <c r="I26" i="2"/>
  <c r="J26" i="2"/>
  <c r="K26" i="2"/>
  <c r="L26" i="2"/>
  <c r="M26" i="2"/>
  <c r="N26" i="2"/>
  <c r="O26" i="2"/>
  <c r="C26" i="2"/>
  <c r="P26" i="2"/>
  <c r="B3" i="5"/>
  <c r="B4" i="5"/>
  <c r="B5" i="5"/>
  <c r="B6" i="5"/>
  <c r="B2" i="5"/>
  <c r="G18" i="23"/>
  <c r="Q8" i="23"/>
  <c r="Q7" i="23"/>
  <c r="Q6" i="23"/>
  <c r="Q5" i="23"/>
  <c r="G18" i="22"/>
  <c r="Q8" i="22"/>
  <c r="Q7" i="22"/>
  <c r="Q6" i="22"/>
  <c r="Q5" i="22"/>
  <c r="G18" i="21"/>
  <c r="Q8" i="21"/>
  <c r="Q7" i="21"/>
  <c r="Q6" i="21"/>
  <c r="Q5" i="21"/>
  <c r="Q8" i="20"/>
  <c r="Q7" i="20"/>
  <c r="Q6" i="20"/>
  <c r="Q5" i="20"/>
  <c r="G18" i="20"/>
  <c r="G18" i="19"/>
  <c r="Q8" i="19"/>
  <c r="Q7" i="19"/>
  <c r="Q6" i="19"/>
  <c r="Q5" i="19"/>
  <c r="G18" i="18"/>
  <c r="Q8" i="18"/>
  <c r="Q7" i="18"/>
  <c r="Q6" i="18"/>
  <c r="Q5" i="18"/>
  <c r="Q8" i="17"/>
  <c r="Q7" i="17"/>
  <c r="Q6" i="17"/>
  <c r="Q5" i="17"/>
  <c r="G18" i="17"/>
  <c r="G18" i="16"/>
  <c r="Q8" i="16"/>
  <c r="Q7" i="16"/>
  <c r="Q6" i="16"/>
  <c r="Q5" i="16"/>
  <c r="G18" i="15"/>
  <c r="Q8" i="15"/>
  <c r="Q7" i="15"/>
  <c r="Q6" i="15"/>
  <c r="Q5" i="15"/>
  <c r="Q8" i="14"/>
  <c r="Q7" i="14"/>
  <c r="Q6" i="14"/>
  <c r="Q5" i="14"/>
  <c r="G18" i="14"/>
  <c r="G18" i="2"/>
  <c r="G18" i="25"/>
  <c r="G18" i="6"/>
  <c r="G18" i="7"/>
  <c r="G18" i="10"/>
  <c r="G18" i="11"/>
  <c r="G18" i="12"/>
  <c r="G18" i="13"/>
  <c r="Q8" i="13"/>
  <c r="Q7" i="13"/>
  <c r="Q6" i="13"/>
  <c r="Q5" i="13"/>
  <c r="Q8" i="10"/>
  <c r="Q7" i="10"/>
  <c r="Q6" i="10"/>
  <c r="Q8" i="7"/>
  <c r="Q7" i="7"/>
  <c r="Q6" i="7"/>
  <c r="Q5" i="7"/>
  <c r="Q8" i="6"/>
  <c r="Q7" i="6"/>
  <c r="L35" i="1" a="1"/>
  <c r="L24" i="1" a="1"/>
  <c r="M32" i="1" a="1"/>
  <c r="M29" i="1" a="1"/>
  <c r="L33" i="1" a="1"/>
  <c r="M25" i="1" a="1"/>
  <c r="M36" i="1" a="1"/>
  <c r="L30" i="1" a="1"/>
  <c r="M26" i="1" a="1"/>
  <c r="M31" i="1" a="1"/>
  <c r="M27" i="1" a="1"/>
  <c r="L32" i="1" a="1"/>
  <c r="M33" i="1" a="1"/>
  <c r="M35" i="1" a="1"/>
  <c r="L26" i="1" a="1"/>
  <c r="M34" i="1" a="1"/>
  <c r="L29" i="1" a="1"/>
  <c r="L31" i="1" a="1"/>
  <c r="L36" i="1" a="1"/>
  <c r="M30" i="1" a="1"/>
  <c r="M24" i="1" a="1"/>
  <c r="L25" i="1" a="1"/>
  <c r="L27" i="1" a="1"/>
  <c r="L34" i="1" a="1"/>
  <c r="Q27" i="6" l="1"/>
  <c r="L34" i="1"/>
  <c r="L29" i="1"/>
  <c r="L25" i="1"/>
  <c r="L36" i="1"/>
  <c r="L32" i="1"/>
  <c r="L30" i="1"/>
  <c r="L33" i="1"/>
  <c r="L35" i="1"/>
  <c r="L31" i="1"/>
  <c r="L27" i="1"/>
  <c r="L26" i="1"/>
  <c r="L24" i="1"/>
  <c r="Q26" i="6"/>
  <c r="Q31" i="6"/>
  <c r="Q30" i="6"/>
  <c r="Q33" i="6"/>
  <c r="Q29" i="6"/>
  <c r="Q32" i="2"/>
  <c r="Q31" i="2"/>
  <c r="Q27" i="2"/>
  <c r="Q29" i="2"/>
  <c r="Q33" i="2"/>
  <c r="Q28" i="2"/>
  <c r="Q26" i="2"/>
  <c r="Q30" i="2"/>
  <c r="M35" i="1"/>
  <c r="M26" i="1"/>
  <c r="M36" i="1"/>
  <c r="M32" i="1"/>
  <c r="M27" i="1"/>
  <c r="M31" i="1"/>
  <c r="M34" i="1"/>
  <c r="M30" i="1"/>
  <c r="M33" i="1"/>
  <c r="M29" i="1"/>
  <c r="M25" i="1"/>
  <c r="M24" i="1"/>
  <c r="Q8" i="25"/>
  <c r="M28" i="1" a="1"/>
  <c r="L28" i="1" a="1"/>
  <c r="L28" i="1" l="1"/>
  <c r="M28" i="1"/>
  <c r="Q8" i="12"/>
  <c r="W8" i="25" l="1"/>
  <c r="T8" i="25"/>
  <c r="U8" i="25" s="1"/>
  <c r="V8" i="25" s="1"/>
  <c r="S8" i="25"/>
  <c r="W7" i="25"/>
  <c r="T7" i="25"/>
  <c r="U7" i="25" s="1"/>
  <c r="V7" i="25" s="1"/>
  <c r="S7" i="25"/>
  <c r="Q7" i="25"/>
  <c r="W6" i="25"/>
  <c r="T6" i="25"/>
  <c r="U6" i="25" s="1"/>
  <c r="V6" i="25" s="1"/>
  <c r="S6" i="25"/>
  <c r="Q6" i="25"/>
  <c r="W5" i="25"/>
  <c r="T5" i="25"/>
  <c r="U5" i="25" s="1"/>
  <c r="V5" i="25" s="1"/>
  <c r="S5" i="25"/>
  <c r="P5" i="25"/>
  <c r="Q5" i="25" s="1"/>
  <c r="T11" i="25" l="1"/>
  <c r="W9" i="25"/>
  <c r="V9" i="25"/>
  <c r="U11" i="25"/>
  <c r="V11" i="25" s="1"/>
  <c r="U13" i="25"/>
  <c r="V13" i="25" s="1"/>
  <c r="U15" i="25"/>
  <c r="V15" i="25" s="1"/>
  <c r="Q8" i="11" l="1"/>
  <c r="P7" i="6"/>
  <c r="Q6" i="2"/>
  <c r="Q5" i="2"/>
  <c r="Q7" i="2"/>
  <c r="Q8" i="2"/>
  <c r="J3" i="24"/>
  <c r="I3" i="24"/>
  <c r="H3" i="24"/>
  <c r="F3" i="24"/>
  <c r="G3" i="24" s="1"/>
  <c r="D3" i="24"/>
  <c r="E3" i="24" s="1"/>
  <c r="S6" i="2"/>
  <c r="N43" i="1"/>
  <c r="N42" i="1"/>
  <c r="N41" i="1"/>
  <c r="N40" i="1"/>
  <c r="N39" i="1"/>
  <c r="N38" i="1"/>
  <c r="N37" i="1"/>
  <c r="K19" i="1"/>
  <c r="K18" i="1"/>
  <c r="K17" i="1"/>
  <c r="K16" i="1"/>
  <c r="K15" i="1"/>
  <c r="K14" i="1"/>
  <c r="K13" i="1"/>
  <c r="K12" i="1"/>
  <c r="K11" i="1"/>
  <c r="K10" i="1"/>
  <c r="O19" i="1" l="1"/>
  <c r="O18" i="1"/>
  <c r="O17" i="1"/>
  <c r="O16" i="1"/>
  <c r="O15" i="1"/>
  <c r="O14" i="1"/>
  <c r="O13" i="1"/>
  <c r="O12" i="1"/>
  <c r="O11" i="1"/>
  <c r="O10" i="1"/>
  <c r="W5" i="6"/>
  <c r="B9" i="5"/>
  <c r="B8" i="5"/>
  <c r="W6" i="6"/>
  <c r="E19" i="1"/>
  <c r="E18" i="1"/>
  <c r="E17" i="1"/>
  <c r="E16" i="1"/>
  <c r="E15" i="1"/>
  <c r="E14" i="1"/>
  <c r="E13" i="1"/>
  <c r="E12" i="1"/>
  <c r="E11" i="1"/>
  <c r="E10" i="1"/>
  <c r="E4" i="1"/>
  <c r="F24" i="1"/>
  <c r="D24" i="1"/>
  <c r="P8" i="23"/>
  <c r="P7" i="23"/>
  <c r="P6" i="23"/>
  <c r="P5" i="23"/>
  <c r="P8" i="22"/>
  <c r="P7" i="22"/>
  <c r="P6" i="22"/>
  <c r="P5" i="22"/>
  <c r="P8" i="21"/>
  <c r="P7" i="21"/>
  <c r="P6" i="21"/>
  <c r="P5" i="21"/>
  <c r="P8" i="20"/>
  <c r="P7" i="20"/>
  <c r="P6" i="20"/>
  <c r="P5" i="20"/>
  <c r="P8" i="19"/>
  <c r="P7" i="19"/>
  <c r="P6" i="19"/>
  <c r="P5" i="19"/>
  <c r="P8" i="18"/>
  <c r="P7" i="18"/>
  <c r="P6" i="18"/>
  <c r="P5" i="18"/>
  <c r="P8" i="17"/>
  <c r="P7" i="17"/>
  <c r="P6" i="17"/>
  <c r="P5" i="17"/>
  <c r="P8" i="16"/>
  <c r="P7" i="16"/>
  <c r="P6" i="16"/>
  <c r="P5" i="16"/>
  <c r="P8" i="15"/>
  <c r="P7" i="15"/>
  <c r="P6" i="15"/>
  <c r="P5" i="15"/>
  <c r="P8" i="14"/>
  <c r="P7" i="14"/>
  <c r="P6" i="14"/>
  <c r="P5" i="14"/>
  <c r="P5" i="13"/>
  <c r="P8" i="12"/>
  <c r="P7" i="12"/>
  <c r="Q7" i="12" s="1"/>
  <c r="P6" i="12"/>
  <c r="Q6" i="12" s="1"/>
  <c r="P5" i="12"/>
  <c r="Q5" i="12" s="1"/>
  <c r="P8" i="11"/>
  <c r="P7" i="11"/>
  <c r="Q7" i="11" s="1"/>
  <c r="P6" i="11"/>
  <c r="Q6" i="11" s="1"/>
  <c r="P5" i="11"/>
  <c r="Q5" i="11" s="1"/>
  <c r="P8" i="10"/>
  <c r="P7" i="10"/>
  <c r="P6" i="10"/>
  <c r="P5" i="10"/>
  <c r="Q5" i="10" s="1"/>
  <c r="P8" i="6"/>
  <c r="P6" i="6"/>
  <c r="Q6" i="6" s="1"/>
  <c r="P5" i="6"/>
  <c r="P6" i="7"/>
  <c r="W8" i="2"/>
  <c r="T8" i="2"/>
  <c r="S8" i="2"/>
  <c r="W7" i="2"/>
  <c r="T7" i="2"/>
  <c r="S7" i="2"/>
  <c r="W6" i="2"/>
  <c r="T6" i="2"/>
  <c r="W5" i="2"/>
  <c r="T5" i="2"/>
  <c r="S5" i="2"/>
  <c r="W8" i="7"/>
  <c r="T8" i="7"/>
  <c r="S8" i="7"/>
  <c r="W7" i="7"/>
  <c r="T7" i="7"/>
  <c r="S7" i="7"/>
  <c r="W6" i="7"/>
  <c r="T6" i="7"/>
  <c r="S6" i="7"/>
  <c r="W5" i="7"/>
  <c r="T5" i="7"/>
  <c r="S5" i="7"/>
  <c r="W7" i="6"/>
  <c r="W8" i="6"/>
  <c r="T6" i="6"/>
  <c r="T7" i="6"/>
  <c r="T8" i="6"/>
  <c r="T5" i="6"/>
  <c r="S6" i="6"/>
  <c r="S7" i="6"/>
  <c r="S8" i="6"/>
  <c r="S5" i="6"/>
  <c r="L19" i="1"/>
  <c r="L18" i="1"/>
  <c r="L17" i="1"/>
  <c r="L16" i="1"/>
  <c r="L15" i="1"/>
  <c r="L14" i="1"/>
  <c r="L13" i="1"/>
  <c r="L12" i="1"/>
  <c r="L11" i="1"/>
  <c r="L10" i="1"/>
  <c r="M19" i="1"/>
  <c r="M18" i="1"/>
  <c r="M17" i="1"/>
  <c r="M16" i="1"/>
  <c r="M15" i="1"/>
  <c r="M14" i="1"/>
  <c r="M13" i="1"/>
  <c r="M12" i="1"/>
  <c r="M11" i="1"/>
  <c r="M10" i="1"/>
  <c r="F19" i="1"/>
  <c r="C19" i="1"/>
  <c r="I19" i="1" s="1"/>
  <c r="C18" i="1"/>
  <c r="C17" i="1"/>
  <c r="J17" i="1" s="1"/>
  <c r="C16" i="1"/>
  <c r="G16" i="1" s="1"/>
  <c r="C15" i="1"/>
  <c r="F15" i="1" s="1"/>
  <c r="C14" i="1"/>
  <c r="D14" i="1" s="1"/>
  <c r="C13" i="1"/>
  <c r="C12" i="1"/>
  <c r="C11" i="1"/>
  <c r="I11" i="1" s="1"/>
  <c r="C10" i="1"/>
  <c r="C9" i="1"/>
  <c r="C8" i="1"/>
  <c r="C7" i="1"/>
  <c r="E7" i="1" s="1"/>
  <c r="W8" i="23"/>
  <c r="T8" i="23"/>
  <c r="W7" i="23"/>
  <c r="T7" i="23"/>
  <c r="W6" i="23"/>
  <c r="T6" i="23"/>
  <c r="W5" i="23"/>
  <c r="T5" i="23"/>
  <c r="S5" i="23" a="1"/>
  <c r="S5" i="23" s="1"/>
  <c r="W8" i="22"/>
  <c r="T8" i="22"/>
  <c r="W7" i="22"/>
  <c r="T7" i="22"/>
  <c r="W6" i="22"/>
  <c r="T6" i="22"/>
  <c r="W5" i="22"/>
  <c r="T5" i="22"/>
  <c r="S5" i="22" a="1"/>
  <c r="S5" i="22" s="1"/>
  <c r="W8" i="21"/>
  <c r="T8" i="21"/>
  <c r="W7" i="21"/>
  <c r="T7" i="21"/>
  <c r="W6" i="21"/>
  <c r="T6" i="21"/>
  <c r="W5" i="21"/>
  <c r="T5" i="21"/>
  <c r="S5" i="21" a="1"/>
  <c r="S5" i="21" s="1"/>
  <c r="W8" i="20"/>
  <c r="T8" i="20"/>
  <c r="W7" i="20"/>
  <c r="T7" i="20"/>
  <c r="W6" i="20"/>
  <c r="T6" i="20"/>
  <c r="W5" i="20"/>
  <c r="T5" i="20"/>
  <c r="S5" i="20" a="1"/>
  <c r="S5" i="20" s="1"/>
  <c r="W8" i="19"/>
  <c r="T8" i="19"/>
  <c r="W7" i="19"/>
  <c r="T7" i="19"/>
  <c r="W6" i="19"/>
  <c r="T6" i="19"/>
  <c r="W5" i="19"/>
  <c r="T5" i="19"/>
  <c r="S5" i="19" a="1"/>
  <c r="S5" i="19" s="1"/>
  <c r="W8" i="18"/>
  <c r="T8" i="18"/>
  <c r="W7" i="18"/>
  <c r="T7" i="18"/>
  <c r="W6" i="18"/>
  <c r="T6" i="18"/>
  <c r="W5" i="18"/>
  <c r="T5" i="18"/>
  <c r="S5" i="18" a="1"/>
  <c r="S5" i="18" s="1"/>
  <c r="W8" i="17"/>
  <c r="T8" i="17"/>
  <c r="W7" i="17"/>
  <c r="T7" i="17"/>
  <c r="W6" i="17"/>
  <c r="T6" i="17"/>
  <c r="W5" i="17"/>
  <c r="T5" i="17"/>
  <c r="S5" i="17" a="1"/>
  <c r="S5" i="17" s="1"/>
  <c r="W8" i="16"/>
  <c r="T8" i="16"/>
  <c r="W7" i="16"/>
  <c r="T7" i="16"/>
  <c r="W6" i="16"/>
  <c r="T6" i="16"/>
  <c r="W5" i="16"/>
  <c r="T5" i="16"/>
  <c r="S5" i="16" a="1"/>
  <c r="S5" i="16" s="1"/>
  <c r="W8" i="15"/>
  <c r="T8" i="15"/>
  <c r="W7" i="15"/>
  <c r="T7" i="15"/>
  <c r="W6" i="15"/>
  <c r="T6" i="15"/>
  <c r="W5" i="15"/>
  <c r="T5" i="15"/>
  <c r="S5" i="15" a="1"/>
  <c r="S5" i="15" s="1"/>
  <c r="W8" i="14"/>
  <c r="T8" i="14"/>
  <c r="W7" i="14"/>
  <c r="T7" i="14"/>
  <c r="W6" i="14"/>
  <c r="T6" i="14"/>
  <c r="W5" i="14"/>
  <c r="T5" i="14"/>
  <c r="S5" i="14" a="1"/>
  <c r="S5" i="14" s="1"/>
  <c r="W8" i="13"/>
  <c r="T8" i="13"/>
  <c r="W7" i="13"/>
  <c r="T7" i="13"/>
  <c r="W6" i="13"/>
  <c r="T6" i="13"/>
  <c r="W5" i="13"/>
  <c r="T5" i="13"/>
  <c r="S5" i="13" a="1"/>
  <c r="S5" i="13" s="1"/>
  <c r="W8" i="12"/>
  <c r="T8" i="12"/>
  <c r="W7" i="12"/>
  <c r="T7" i="12"/>
  <c r="W6" i="12"/>
  <c r="T6" i="12"/>
  <c r="W5" i="12"/>
  <c r="T5" i="12"/>
  <c r="S5" i="12" a="1"/>
  <c r="S5" i="12" s="1"/>
  <c r="W8" i="11"/>
  <c r="T8" i="11"/>
  <c r="W7" i="11"/>
  <c r="T7" i="11"/>
  <c r="U7" i="11" s="1"/>
  <c r="V7" i="11" s="1"/>
  <c r="W6" i="11"/>
  <c r="T6" i="11"/>
  <c r="W5" i="11"/>
  <c r="T5" i="11"/>
  <c r="S5" i="11" a="1"/>
  <c r="S5" i="11" s="1"/>
  <c r="C6" i="1"/>
  <c r="W6" i="10"/>
  <c r="W7" i="10"/>
  <c r="W8" i="10"/>
  <c r="W5" i="10"/>
  <c r="T8" i="10"/>
  <c r="T7" i="10"/>
  <c r="T6" i="10"/>
  <c r="T5" i="10"/>
  <c r="S5" i="10" a="1"/>
  <c r="S5" i="10" s="1"/>
  <c r="C5" i="1"/>
  <c r="E5" i="1" s="1"/>
  <c r="D3" i="5"/>
  <c r="D2" i="5"/>
  <c r="P8" i="7"/>
  <c r="P7" i="7"/>
  <c r="P5" i="7"/>
  <c r="P26" i="6" l="1"/>
  <c r="Q5" i="6"/>
  <c r="F25" i="1"/>
  <c r="F26" i="1" s="1"/>
  <c r="E9" i="1"/>
  <c r="E8" i="1"/>
  <c r="D8" i="1" s="1"/>
  <c r="E6" i="1"/>
  <c r="D6" i="1" s="1"/>
  <c r="D5" i="1"/>
  <c r="U8" i="2"/>
  <c r="V8" i="2" s="1"/>
  <c r="H24" i="9"/>
  <c r="T11" i="6"/>
  <c r="D27" i="1" s="1"/>
  <c r="U15" i="7"/>
  <c r="V15" i="7" s="1"/>
  <c r="U15" i="2"/>
  <c r="V15" i="2" s="1"/>
  <c r="W9" i="2"/>
  <c r="F42" i="1" s="1"/>
  <c r="U8" i="10"/>
  <c r="V8" i="10" s="1"/>
  <c r="U7" i="6"/>
  <c r="V7" i="6" s="1"/>
  <c r="U8" i="15"/>
  <c r="V8" i="15" s="1"/>
  <c r="U5" i="2"/>
  <c r="V5" i="2" s="1"/>
  <c r="U7" i="7"/>
  <c r="V7" i="7" s="1"/>
  <c r="U6" i="2"/>
  <c r="V6" i="2" s="1"/>
  <c r="U8" i="12"/>
  <c r="V8" i="12" s="1"/>
  <c r="U5" i="7"/>
  <c r="V5" i="7" s="1"/>
  <c r="U8" i="7"/>
  <c r="V8" i="7" s="1"/>
  <c r="U5" i="12"/>
  <c r="V5" i="12" s="1"/>
  <c r="U6" i="18"/>
  <c r="V6" i="18" s="1"/>
  <c r="U7" i="2"/>
  <c r="V7" i="2" s="1"/>
  <c r="U6" i="7"/>
  <c r="V6" i="7" s="1"/>
  <c r="W9" i="7"/>
  <c r="O5" i="1" s="1"/>
  <c r="W9" i="6"/>
  <c r="T11" i="2"/>
  <c r="F27" i="1" s="1"/>
  <c r="B3" i="24" s="1"/>
  <c r="U11" i="2"/>
  <c r="V11" i="2" s="1"/>
  <c r="U13" i="2"/>
  <c r="V13" i="2" s="1"/>
  <c r="U11" i="7"/>
  <c r="V11" i="7" s="1"/>
  <c r="T11" i="7"/>
  <c r="U13" i="7"/>
  <c r="V13" i="7" s="1"/>
  <c r="L44" i="1"/>
  <c r="M44" i="1"/>
  <c r="U13" i="6"/>
  <c r="U11" i="6"/>
  <c r="V11" i="6" s="1"/>
  <c r="U15" i="6"/>
  <c r="U8" i="6"/>
  <c r="V8" i="6" s="1"/>
  <c r="W9" i="16"/>
  <c r="W9" i="17"/>
  <c r="W9" i="19"/>
  <c r="W9" i="20"/>
  <c r="W9" i="15"/>
  <c r="W9" i="13"/>
  <c r="O9" i="1" s="1"/>
  <c r="W9" i="14"/>
  <c r="W9" i="21"/>
  <c r="W9" i="22"/>
  <c r="W9" i="23"/>
  <c r="W9" i="12"/>
  <c r="O8" i="1" s="1"/>
  <c r="W9" i="11"/>
  <c r="O7" i="1" s="1"/>
  <c r="W9" i="18"/>
  <c r="U6" i="12"/>
  <c r="V6" i="12" s="1"/>
  <c r="U6" i="13"/>
  <c r="V6" i="13" s="1"/>
  <c r="U8" i="14"/>
  <c r="V8" i="14" s="1"/>
  <c r="U6" i="10"/>
  <c r="V6" i="10" s="1"/>
  <c r="U6" i="11"/>
  <c r="V6" i="11" s="1"/>
  <c r="U5" i="14"/>
  <c r="V5" i="14" s="1"/>
  <c r="U7" i="14"/>
  <c r="V7" i="14" s="1"/>
  <c r="U5" i="16"/>
  <c r="V5" i="16" s="1"/>
  <c r="U7" i="16"/>
  <c r="V7" i="16" s="1"/>
  <c r="U5" i="19"/>
  <c r="V5" i="19" s="1"/>
  <c r="U7" i="15"/>
  <c r="V7" i="15" s="1"/>
  <c r="U8" i="17"/>
  <c r="V8" i="17" s="1"/>
  <c r="U6" i="22"/>
  <c r="V6" i="22" s="1"/>
  <c r="U5" i="10"/>
  <c r="V5" i="10" s="1"/>
  <c r="U8" i="13"/>
  <c r="V8" i="13" s="1"/>
  <c r="U5" i="15"/>
  <c r="V5" i="15" s="1"/>
  <c r="U6" i="17"/>
  <c r="V6" i="17" s="1"/>
  <c r="U8" i="18"/>
  <c r="V8" i="18" s="1"/>
  <c r="U5" i="20"/>
  <c r="V5" i="20" s="1"/>
  <c r="U7" i="20"/>
  <c r="V7" i="20" s="1"/>
  <c r="U8" i="19"/>
  <c r="V8" i="19" s="1"/>
  <c r="U6" i="23"/>
  <c r="V6" i="23" s="1"/>
  <c r="U8" i="23"/>
  <c r="V8" i="23" s="1"/>
  <c r="U6" i="19"/>
  <c r="V6" i="19" s="1"/>
  <c r="U5" i="21"/>
  <c r="V5" i="21" s="1"/>
  <c r="U7" i="21"/>
  <c r="V7" i="21" s="1"/>
  <c r="U6" i="6"/>
  <c r="V6" i="6" s="1"/>
  <c r="U8" i="11"/>
  <c r="V8" i="11" s="1"/>
  <c r="U7" i="12"/>
  <c r="V7" i="12" s="1"/>
  <c r="U6" i="14"/>
  <c r="V6" i="14" s="1"/>
  <c r="U5" i="17"/>
  <c r="V5" i="17" s="1"/>
  <c r="U5" i="22"/>
  <c r="V5" i="22" s="1"/>
  <c r="U7" i="22"/>
  <c r="V7" i="22" s="1"/>
  <c r="U7" i="10"/>
  <c r="V7" i="10" s="1"/>
  <c r="U6" i="15"/>
  <c r="V6" i="15" s="1"/>
  <c r="U8" i="16"/>
  <c r="V8" i="16" s="1"/>
  <c r="U7" i="17"/>
  <c r="V7" i="17" s="1"/>
  <c r="U6" i="20"/>
  <c r="V6" i="20" s="1"/>
  <c r="U8" i="20"/>
  <c r="V8" i="20" s="1"/>
  <c r="U5" i="23"/>
  <c r="V5" i="23" s="1"/>
  <c r="U5" i="6"/>
  <c r="V5" i="6" s="1"/>
  <c r="U5" i="11"/>
  <c r="V5" i="11" s="1"/>
  <c r="U5" i="13"/>
  <c r="V5" i="13" s="1"/>
  <c r="U7" i="13"/>
  <c r="V7" i="13" s="1"/>
  <c r="U6" i="16"/>
  <c r="V6" i="16" s="1"/>
  <c r="U5" i="18"/>
  <c r="V5" i="18" s="1"/>
  <c r="U7" i="18"/>
  <c r="V7" i="18" s="1"/>
  <c r="U8" i="21"/>
  <c r="V8" i="21" s="1"/>
  <c r="U7" i="19"/>
  <c r="V7" i="19" s="1"/>
  <c r="U6" i="21"/>
  <c r="V6" i="21" s="1"/>
  <c r="U8" i="22"/>
  <c r="V8" i="22" s="1"/>
  <c r="U7" i="23"/>
  <c r="V7" i="23" s="1"/>
  <c r="N15" i="1"/>
  <c r="F11" i="1"/>
  <c r="H12" i="1"/>
  <c r="G12" i="1"/>
  <c r="J13" i="1"/>
  <c r="I15" i="1"/>
  <c r="D10" i="1"/>
  <c r="N10" i="1"/>
  <c r="D13" i="1"/>
  <c r="F14" i="1"/>
  <c r="H15" i="1"/>
  <c r="J16" i="1"/>
  <c r="N18" i="1"/>
  <c r="G17" i="1"/>
  <c r="I12" i="1"/>
  <c r="D12" i="1"/>
  <c r="F13" i="1"/>
  <c r="H14" i="1"/>
  <c r="J15" i="1"/>
  <c r="N17" i="1"/>
  <c r="G10" i="1"/>
  <c r="G18" i="1"/>
  <c r="I13" i="1"/>
  <c r="D11" i="1"/>
  <c r="F12" i="1"/>
  <c r="H13" i="1"/>
  <c r="J14" i="1"/>
  <c r="N16" i="1"/>
  <c r="D19" i="1"/>
  <c r="G11" i="1"/>
  <c r="G19" i="1"/>
  <c r="I14" i="1"/>
  <c r="F10" i="1"/>
  <c r="H11" i="1"/>
  <c r="J12" i="1"/>
  <c r="N14" i="1"/>
  <c r="D17" i="1"/>
  <c r="F18" i="1"/>
  <c r="H19" i="1"/>
  <c r="G13" i="1"/>
  <c r="I16" i="1"/>
  <c r="D18" i="1"/>
  <c r="H10" i="1"/>
  <c r="J11" i="1"/>
  <c r="N13" i="1"/>
  <c r="D16" i="1"/>
  <c r="F17" i="1"/>
  <c r="H18" i="1"/>
  <c r="J19" i="1"/>
  <c r="G14" i="1"/>
  <c r="I17" i="1"/>
  <c r="J10" i="1"/>
  <c r="N12" i="1"/>
  <c r="D15" i="1"/>
  <c r="F16" i="1"/>
  <c r="H17" i="1"/>
  <c r="J18" i="1"/>
  <c r="G15" i="1"/>
  <c r="I10" i="1"/>
  <c r="I18" i="1"/>
  <c r="N11" i="1"/>
  <c r="H16" i="1"/>
  <c r="N19" i="1"/>
  <c r="T11" i="23"/>
  <c r="U15" i="23"/>
  <c r="U13" i="23"/>
  <c r="U11" i="23"/>
  <c r="U15" i="22"/>
  <c r="U13" i="22"/>
  <c r="U11" i="22"/>
  <c r="T11" i="22"/>
  <c r="U15" i="21"/>
  <c r="U13" i="21"/>
  <c r="U11" i="21"/>
  <c r="T11" i="21"/>
  <c r="U15" i="20"/>
  <c r="U13" i="20"/>
  <c r="U11" i="20"/>
  <c r="T11" i="20"/>
  <c r="U15" i="19"/>
  <c r="U13" i="19"/>
  <c r="U11" i="19"/>
  <c r="T11" i="19"/>
  <c r="U15" i="18"/>
  <c r="T11" i="18"/>
  <c r="U13" i="18"/>
  <c r="U11" i="18"/>
  <c r="U15" i="17"/>
  <c r="U13" i="17"/>
  <c r="U11" i="17"/>
  <c r="T11" i="17"/>
  <c r="U15" i="16"/>
  <c r="U13" i="16"/>
  <c r="U11" i="16"/>
  <c r="T11" i="16"/>
  <c r="U11" i="15"/>
  <c r="T11" i="15"/>
  <c r="U15" i="15"/>
  <c r="U13" i="15"/>
  <c r="U15" i="14"/>
  <c r="U13" i="14"/>
  <c r="U11" i="14"/>
  <c r="T11" i="14"/>
  <c r="U15" i="13"/>
  <c r="M9" i="1" s="1"/>
  <c r="U13" i="13"/>
  <c r="K9" i="1" s="1"/>
  <c r="U11" i="13"/>
  <c r="I9" i="1" s="1"/>
  <c r="T11" i="13"/>
  <c r="U15" i="12"/>
  <c r="M8" i="1" s="1"/>
  <c r="U13" i="12"/>
  <c r="K8" i="1" s="1"/>
  <c r="U11" i="12"/>
  <c r="I8" i="1" s="1"/>
  <c r="T11" i="12"/>
  <c r="U15" i="11"/>
  <c r="M7" i="1" s="1"/>
  <c r="U13" i="11"/>
  <c r="K7" i="1" s="1"/>
  <c r="T11" i="11"/>
  <c r="U11" i="11"/>
  <c r="I7" i="1" s="1"/>
  <c r="W9" i="10"/>
  <c r="O6" i="1" s="1"/>
  <c r="U15" i="10"/>
  <c r="M6" i="1" s="1"/>
  <c r="U13" i="10"/>
  <c r="K6" i="1" s="1"/>
  <c r="U11" i="10"/>
  <c r="I6" i="1" s="1"/>
  <c r="T11" i="10"/>
  <c r="M3" i="24" l="1"/>
  <c r="N36" i="1"/>
  <c r="D7" i="1"/>
  <c r="N9" i="1"/>
  <c r="L9" i="1"/>
  <c r="L8" i="1"/>
  <c r="H9" i="1"/>
  <c r="J9" i="1"/>
  <c r="N8" i="1"/>
  <c r="H8" i="1"/>
  <c r="J8" i="1"/>
  <c r="N7" i="1"/>
  <c r="H7" i="1"/>
  <c r="J7" i="1"/>
  <c r="L7" i="1"/>
  <c r="K5" i="1"/>
  <c r="J6" i="1" s="1"/>
  <c r="M5" i="1"/>
  <c r="L6" i="1" s="1"/>
  <c r="I5" i="1"/>
  <c r="H6" i="1" s="1"/>
  <c r="N6" i="1"/>
  <c r="N24" i="1"/>
  <c r="D9" i="1"/>
  <c r="N35" i="1"/>
  <c r="N27" i="1"/>
  <c r="N34" i="1"/>
  <c r="N26" i="1"/>
  <c r="N33" i="1"/>
  <c r="N25" i="1"/>
  <c r="N31" i="1"/>
  <c r="N30" i="1"/>
  <c r="N29" i="1"/>
  <c r="N28" i="1"/>
  <c r="N32" i="1"/>
  <c r="V9" i="7"/>
  <c r="G5" i="1" s="1"/>
  <c r="V9" i="2"/>
  <c r="V9" i="6"/>
  <c r="G4" i="1" s="1"/>
  <c r="V9" i="11"/>
  <c r="G7" i="1" s="1"/>
  <c r="V9" i="12"/>
  <c r="G8" i="1" s="1"/>
  <c r="V9" i="21"/>
  <c r="V9" i="16"/>
  <c r="V9" i="13"/>
  <c r="G9" i="1" s="1"/>
  <c r="F28" i="1"/>
  <c r="V9" i="18"/>
  <c r="D36" i="1"/>
  <c r="I4" i="1"/>
  <c r="D42" i="1"/>
  <c r="F43" i="1" s="1"/>
  <c r="O4" i="1"/>
  <c r="N5" i="1" s="1"/>
  <c r="D30" i="1"/>
  <c r="K4" i="1"/>
  <c r="V13" i="6"/>
  <c r="M4" i="1"/>
  <c r="D33" i="1"/>
  <c r="V15" i="6"/>
  <c r="V9" i="19"/>
  <c r="V9" i="15"/>
  <c r="V9" i="14"/>
  <c r="V9" i="10"/>
  <c r="G6" i="1" s="1"/>
  <c r="V9" i="20"/>
  <c r="V9" i="23"/>
  <c r="V9" i="22"/>
  <c r="V9" i="17"/>
  <c r="F36" i="1"/>
  <c r="F30" i="1"/>
  <c r="F33" i="1"/>
  <c r="F37" i="1" l="1"/>
  <c r="F38" i="1"/>
  <c r="J5" i="1"/>
  <c r="H5" i="1"/>
  <c r="L5" i="1"/>
  <c r="F9" i="1"/>
  <c r="F8" i="1"/>
  <c r="F7" i="1"/>
  <c r="F6" i="1"/>
  <c r="F5" i="1"/>
  <c r="K3" i="24"/>
  <c r="F44" i="1"/>
  <c r="L3" i="24"/>
  <c r="F29" i="1"/>
  <c r="C3" i="24"/>
  <c r="F31" i="1"/>
  <c r="F32" i="1" s="1"/>
  <c r="D39" i="1"/>
  <c r="F34" i="1"/>
  <c r="F35" i="1" s="1"/>
  <c r="F39" i="1"/>
  <c r="F40" i="1" l="1"/>
  <c r="F4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Emma Stanley</author>
  </authors>
  <commentList>
    <comment ref="D19" authorId="0" shapeId="0" xr:uid="{F84936C1-D050-4B6E-AE4D-6223193B07D2}">
      <text>
        <r>
          <rPr>
            <sz val="9"/>
            <color indexed="81"/>
            <rFont val="Tahoma"/>
            <family val="2"/>
          </rPr>
          <t xml:space="preserve">Should be within 3% of gross building area
</t>
        </r>
      </text>
    </comment>
    <comment ref="D20" authorId="0" shapeId="0" xr:uid="{2B06D9B4-A584-47D8-AD02-C8ADDCCAFCFF}">
      <text>
        <r>
          <rPr>
            <b/>
            <sz val="9"/>
            <color indexed="81"/>
            <rFont val="Tahoma"/>
            <family val="2"/>
          </rPr>
          <t>Matches LV-B area</t>
        </r>
      </text>
    </comment>
    <comment ref="D21" authorId="0" shapeId="0" xr:uid="{477AFAF3-58A1-4805-8163-04BD7A96230B}">
      <text>
        <r>
          <rPr>
            <sz val="9"/>
            <color indexed="81"/>
            <rFont val="Tahoma"/>
            <family val="2"/>
          </rPr>
          <t>Includes area of zones that are required for modeling, but do not contribute to actual floor area, such as plenums</t>
        </r>
      </text>
    </comment>
    <comment ref="D22" authorId="0" shapeId="0" xr:uid="{76B220F8-29F2-4AFC-A77D-C88ED04D0C20}">
      <text>
        <r>
          <rPr>
            <sz val="9"/>
            <color indexed="81"/>
            <rFont val="Tahoma"/>
            <family val="2"/>
          </rPr>
          <t xml:space="preserve">Should be within 1% of gross building area
</t>
        </r>
      </text>
    </comment>
    <comment ref="D23" authorId="0" shapeId="0" xr:uid="{4A10D43B-1C87-4BC3-96DF-CE91A8253579}">
      <text>
        <r>
          <rPr>
            <sz val="9"/>
            <color indexed="81"/>
            <rFont val="Tahoma"/>
            <family val="2"/>
          </rPr>
          <t>Includes unconditioned areas, such as shafts, that contribute to floor area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<sst xmlns="http://schemas.openxmlformats.org/spreadsheetml/2006/main" count="1049" uniqueCount="178">
  <si>
    <t>Proposed Design, Model Results</t>
  </si>
  <si>
    <t>Input Values from BEPU Report</t>
  </si>
  <si>
    <t>Lights</t>
  </si>
  <si>
    <t>Task
Lights</t>
  </si>
  <si>
    <t>Misc
Equip</t>
  </si>
  <si>
    <t>Space
Heating</t>
  </si>
  <si>
    <t>Space
Cooling</t>
  </si>
  <si>
    <t>Heat
Reject</t>
  </si>
  <si>
    <t>Pumps
&amp; Aux</t>
  </si>
  <si>
    <t>Vent
Fans</t>
  </si>
  <si>
    <t>Refrig
Display</t>
  </si>
  <si>
    <t>HT Pump 
Supplem</t>
  </si>
  <si>
    <t>Domest
Hot Wtr</t>
  </si>
  <si>
    <t>Ext
Usage</t>
  </si>
  <si>
    <t>Total</t>
  </si>
  <si>
    <t>Meter Name</t>
  </si>
  <si>
    <t>Meter Fuel Type</t>
  </si>
  <si>
    <t>Electricity</t>
  </si>
  <si>
    <t>No.2 Fuel Oil</t>
  </si>
  <si>
    <t>Steam</t>
  </si>
  <si>
    <t>No.4 Fuel Oil</t>
  </si>
  <si>
    <t>Electricity (kWh)</t>
  </si>
  <si>
    <t>Natural Gas (Therms)</t>
  </si>
  <si>
    <t>Check?</t>
  </si>
  <si>
    <t>Fuel Type</t>
  </si>
  <si>
    <t>Input Values from ES-D Report</t>
  </si>
  <si>
    <t>Rate Name</t>
  </si>
  <si>
    <t>Resource</t>
  </si>
  <si>
    <t>Metered
Energy
Units/Yr</t>
  </si>
  <si>
    <t>Total 
Charge
($)</t>
  </si>
  <si>
    <t>Virtual 
Rate
($/unit)</t>
  </si>
  <si>
    <t>Rate Used 
All Year?</t>
  </si>
  <si>
    <t>Total
Charge</t>
  </si>
  <si>
    <t>Meter</t>
  </si>
  <si>
    <t>Existing Building Baseline, Model Results</t>
  </si>
  <si>
    <t>EEM1, Model Results</t>
  </si>
  <si>
    <t>EEM2, Model Results</t>
  </si>
  <si>
    <t>EEM Description</t>
  </si>
  <si>
    <t>EEM Cost</t>
  </si>
  <si>
    <t>EEM Source EUI Savings (kBTU/sf.yr)</t>
  </si>
  <si>
    <t>EEM Cost Saving ($/yr)</t>
  </si>
  <si>
    <t>EEM Fossil Fuel Use Savings (MMBTU/yr)</t>
  </si>
  <si>
    <t>Table 1a - EEM Savings Comparison</t>
  </si>
  <si>
    <t>EEM #</t>
  </si>
  <si>
    <t>School Information</t>
  </si>
  <si>
    <t>School Name</t>
  </si>
  <si>
    <t>Address</t>
  </si>
  <si>
    <t>Building Type</t>
  </si>
  <si>
    <t>Number of Stories</t>
  </si>
  <si>
    <t>Submission</t>
  </si>
  <si>
    <t>Template Used</t>
  </si>
  <si>
    <t>Date</t>
  </si>
  <si>
    <t>Energy Modeling Information</t>
  </si>
  <si>
    <t>Drawing Set</t>
  </si>
  <si>
    <t>Modeling Software &amp; version</t>
  </si>
  <si>
    <t>Weather File</t>
  </si>
  <si>
    <t>Window/Wall Ratio</t>
  </si>
  <si>
    <t>Total Modeled Square Feet (from LV-B)</t>
  </si>
  <si>
    <t>Area of plenums/ dummy zones</t>
  </si>
  <si>
    <t>Modeled Gross Building Area</t>
  </si>
  <si>
    <t>Unconditioned Area</t>
  </si>
  <si>
    <t>Conditioned SQFT</t>
  </si>
  <si>
    <t>source EUI factor</t>
  </si>
  <si>
    <t>SITE EUI</t>
  </si>
  <si>
    <t>SOURCE EUI</t>
  </si>
  <si>
    <t xml:space="preserve">Total MMBTU </t>
  </si>
  <si>
    <t>FF</t>
  </si>
  <si>
    <t>OTHR</t>
  </si>
  <si>
    <t>ELEC</t>
  </si>
  <si>
    <t>ELEC kWh</t>
  </si>
  <si>
    <t>ELEC MMBTU</t>
  </si>
  <si>
    <t>FF MMBTU</t>
  </si>
  <si>
    <t>OTHR MMBTU</t>
  </si>
  <si>
    <t>Carbon</t>
  </si>
  <si>
    <t>Existing Building Baseline</t>
  </si>
  <si>
    <t>-</t>
  </si>
  <si>
    <t>EEM Fossil Fuel Use (MMBTU/yr)</t>
  </si>
  <si>
    <t>EEM Electric Use (MMBTU/yr)</t>
  </si>
  <si>
    <t>EEM Electric Use Savings (MMBTU/yr)</t>
  </si>
  <si>
    <t>EEM Source EUI (kBTU/sf.yr)</t>
  </si>
  <si>
    <t>EEM Carbon Emission 
(tons CO2e/yr)</t>
  </si>
  <si>
    <t>EEM Carbon Savings 
(tons CO2e/yr)</t>
  </si>
  <si>
    <t>EEM4, Model Results</t>
  </si>
  <si>
    <t>EEM3, Model Results</t>
  </si>
  <si>
    <t>EEM5, Model Results</t>
  </si>
  <si>
    <t>EEM6, Model Results</t>
  </si>
  <si>
    <t>EEM7, Model Results</t>
  </si>
  <si>
    <t>EEM8, Model Results</t>
  </si>
  <si>
    <t>EEM9, Model Results</t>
  </si>
  <si>
    <t>EEM10, Model Results</t>
  </si>
  <si>
    <t>EEM11, Model Results</t>
  </si>
  <si>
    <t>EEM12, Model Results</t>
  </si>
  <si>
    <t>EEM13, Model Results</t>
  </si>
  <si>
    <t>EEM14, Model Results</t>
  </si>
  <si>
    <t>EEM15, Model Results</t>
  </si>
  <si>
    <t>EEM Other Energy Savings (MMBTU/yr)</t>
  </si>
  <si>
    <t>EEM Other Energy Use (MMBTU/yr)</t>
  </si>
  <si>
    <t>Case</t>
  </si>
  <si>
    <t>Existing Building</t>
  </si>
  <si>
    <t>Proposed Design</t>
  </si>
  <si>
    <t>Table 1b - Existing vs Proposed Results</t>
  </si>
  <si>
    <t>Total Energy Cost</t>
  </si>
  <si>
    <t>Energy Cost Savings</t>
  </si>
  <si>
    <t>% Energy Cost Savings</t>
  </si>
  <si>
    <t>Total Electricity (kWh/year)</t>
  </si>
  <si>
    <t>Electricity Savings (kWh/year)</t>
  </si>
  <si>
    <t>% Electricity Savings</t>
  </si>
  <si>
    <t>Total Fossil Fuels (MMBTU/year)</t>
  </si>
  <si>
    <t>Fossil Fuels Savings (MMBTU/year)</t>
  </si>
  <si>
    <t>% Fossil Fuels Savings</t>
  </si>
  <si>
    <t>Site Energy (MMBTU)</t>
  </si>
  <si>
    <t>Site EUI (kBTU/sf.year)</t>
  </si>
  <si>
    <t xml:space="preserve">% Site EUI Savings </t>
  </si>
  <si>
    <t>Source Energy (MMBTU)</t>
  </si>
  <si>
    <t>Source EUI (kBTU/sf.year)</t>
  </si>
  <si>
    <t>% Source EUI Savings</t>
  </si>
  <si>
    <t>Total Carbon (tCO2e/year)</t>
  </si>
  <si>
    <t>Total Carbon Savings (tCO2e/year)</t>
  </si>
  <si>
    <t>% Total Carbon Savings</t>
  </si>
  <si>
    <t>Total Other Energy (MMBTU/year)</t>
  </si>
  <si>
    <t xml:space="preserve">% Other Energy Savings </t>
  </si>
  <si>
    <t>Other Energy Savings (MMBTU/year)</t>
  </si>
  <si>
    <t>Source MMBTU</t>
  </si>
  <si>
    <t>Unit</t>
  </si>
  <si>
    <t>Steam (MMBTU)</t>
  </si>
  <si>
    <t>MMBTU/unit</t>
  </si>
  <si>
    <t>Biofuel B20 (Gal)</t>
  </si>
  <si>
    <t>Biofuel B99 (Gal)</t>
  </si>
  <si>
    <t>Chilled Water (MMBTU)</t>
  </si>
  <si>
    <t>No.2 Fuel Oil (Gal)</t>
  </si>
  <si>
    <t>No.4 Fuel Oil (Gal)</t>
  </si>
  <si>
    <t>Table 1c - Energy End Use Breakdown</t>
  </si>
  <si>
    <t>End Use</t>
  </si>
  <si>
    <t>Interior Lighting</t>
  </si>
  <si>
    <t>Exterior Lighting</t>
  </si>
  <si>
    <t>Pumps and Aux</t>
  </si>
  <si>
    <t>Fans</t>
  </si>
  <si>
    <t>Heating</t>
  </si>
  <si>
    <t>Domestic Hot Water</t>
  </si>
  <si>
    <t>Equipment Loads</t>
  </si>
  <si>
    <t>Cooling &amp; Heat Rejection</t>
  </si>
  <si>
    <t>Heat Pumps Supplemental</t>
  </si>
  <si>
    <t>Natural Gas</t>
  </si>
  <si>
    <t>Chilled Water</t>
  </si>
  <si>
    <t>Boifuel B99</t>
  </si>
  <si>
    <t>Biofuel B20</t>
  </si>
  <si>
    <t>MMBTU</t>
  </si>
  <si>
    <t>Fuel Source</t>
  </si>
  <si>
    <t>Existing Building Use (MMBTU)</t>
  </si>
  <si>
    <t>Proposed Design Use (MMBTU)</t>
  </si>
  <si>
    <t>Student population</t>
  </si>
  <si>
    <t>Students served by kitchen</t>
  </si>
  <si>
    <t>Kitchen area</t>
  </si>
  <si>
    <t>Kitchen % of building</t>
  </si>
  <si>
    <t>General Building Information</t>
  </si>
  <si>
    <t>Contribution to Total Savings</t>
  </si>
  <si>
    <t>Projected Annual Electricity Consumption (kWh)</t>
  </si>
  <si>
    <t>Annual Electricity Consumption Savings (kWh)</t>
  </si>
  <si>
    <t>Projected Annual Gas Consumption (therms)</t>
  </si>
  <si>
    <t>Projected Annual Steam Consumption (mlbs)</t>
  </si>
  <si>
    <t>Projected #4 Fuel Oil Consumption (gallons)</t>
  </si>
  <si>
    <t>Projected #2 Fuel Oil Consumption (gallons)</t>
  </si>
  <si>
    <t>Projected Biofuel Consumption (gallons)</t>
  </si>
  <si>
    <t>Annual Energy Reduction (MMBTU)</t>
  </si>
  <si>
    <t>Energy Cost Savings ($/yr)</t>
  </si>
  <si>
    <t>GHG Emission Reduction (MTCO2e)</t>
  </si>
  <si>
    <t>Annual Steam Consumption Savings 
(mlbs)</t>
  </si>
  <si>
    <t>Annual Gas Consumption Savings 
(therms)</t>
  </si>
  <si>
    <t xml:space="preserve">Note: 
If the modeler adds or deletes rows in the meters section of either the Proposed Design or Existing Building Baseline tabs, the equations above should be double checked for accuracy as they may become incorrect. 
</t>
  </si>
  <si>
    <t>Task Lighting</t>
  </si>
  <si>
    <t>April 2024</t>
  </si>
  <si>
    <t>LL51 Baseline, Model Results</t>
  </si>
  <si>
    <t>Calculator version 2.3</t>
  </si>
  <si>
    <t>carbon tCO2e/[energy unit]</t>
  </si>
  <si>
    <t>kg CO2e/Mbtu</t>
  </si>
  <si>
    <t>Cooling</t>
  </si>
  <si>
    <t>Heat Rejection</t>
  </si>
  <si>
    <t>Refrigeration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</si>
</sst>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0.00000000"/>
    <numFmt numFmtId="165" formatCode="0.000"/>
    <numFmt numFmtId="166" formatCode="0.0"/>
    <numFmt numFmtId="167" formatCode="0.000000"/>
  </numFmts>
  <fonts count="11" x14ac:knownFonts="1">
    <font>
      <sz val="11"/>
      <color theme="1"/>
      <name val="Calibri"/>
      <family val="2"/>
      <scheme val="minor"/>
    </font>
    <font>
      <sz val="11"/>
      <color theme="1"/>
      <name val="Calibri"/>
      <family val="2"/>
      <scheme val="minor"/>
    </font>
    <font>
      <sz val="11"/>
      <color rgb="FFFF0000"/>
      <name val="Calibri"/>
      <family val="2"/>
      <scheme val="minor"/>
    </font>
    <font>
      <b/>
      <sz val="10"/>
      <color theme="1"/>
      <name val="Arial"/>
      <family val="2"/>
    </font>
    <font>
      <sz val="9"/>
      <color theme="1"/>
      <name val="Calibri"/>
      <family val="2"/>
      <scheme val="minor"/>
    </font>
    <font>
      <sz val="10"/>
      <color theme="1"/>
      <name val="Arial"/>
      <family val="2"/>
    </font>
    <font>
      <sz val="9"/>
      <color indexed="81"/>
      <name val="Tahoma"/>
      <family val="2"/>
    </font>
    <font>
      <b/>
      <sz val="9"/>
      <color indexed="81"/>
      <name val="Tahoma"/>
      <family val="2"/>
    </font>
    <font>
      <sz val="20"/>
      <color theme="1"/>
      <name val="Calibri"/>
      <family val="2"/>
      <scheme val="minor"/>
    </font>
    <font>
      <sz val="11"/>
      <name val="Calibri"/>
      <family val="2"/>
      <scheme val="minor"/>
    </font>
    <font>
      <sz val="11"/>
      <color rgb="FF000000"/>
      <name val="Calibri"/>
      <family val="2"/>
      <scheme val="minor"/>
    </font>
  </fonts>
  <fills count="9">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EEECE1"/>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2"/>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70">
    <xf numFmtId="0" fontId="0" fillId="0" borderId="0" xfId="0"/>
    <xf numFmtId="0" fontId="0" fillId="2" borderId="1" xfId="0" applyFill="1" applyBorder="1"/>
    <xf numFmtId="0" fontId="0" fillId="3" borderId="0" xfId="0" applyFill="1"/>
    <xf numFmtId="0" fontId="0" fillId="3" borderId="0" xfId="0" applyFill="1" applyAlignment="1">
      <alignment wrapText="1"/>
    </xf>
    <xf numFmtId="0" fontId="0" fillId="3" borderId="2" xfId="0" applyFill="1" applyBorder="1" applyAlignment="1">
      <alignment horizontal="center"/>
    </xf>
    <xf numFmtId="0" fontId="0" fillId="6" borderId="25" xfId="0" applyFill="1" applyBorder="1"/>
    <xf numFmtId="0" fontId="0" fillId="6" borderId="27" xfId="0" applyFill="1" applyBorder="1"/>
    <xf numFmtId="0" fontId="0" fillId="6" borderId="23" xfId="0" applyFill="1" applyBorder="1"/>
    <xf numFmtId="0" fontId="0" fillId="6" borderId="24" xfId="0" applyFill="1" applyBorder="1"/>
    <xf numFmtId="0" fontId="4" fillId="0" borderId="28" xfId="0" applyFont="1" applyBorder="1" applyAlignment="1">
      <alignment horizontal="right" vertical="center"/>
    </xf>
    <xf numFmtId="0" fontId="0" fillId="0" borderId="29" xfId="0" applyBorder="1"/>
    <xf numFmtId="0" fontId="4" fillId="0" borderId="30" xfId="0" applyFont="1" applyBorder="1" applyAlignment="1">
      <alignment horizontal="right" vertical="center"/>
    </xf>
    <xf numFmtId="0" fontId="0" fillId="0" borderId="31" xfId="0" applyBorder="1"/>
    <xf numFmtId="0" fontId="0" fillId="0" borderId="32" xfId="0" applyBorder="1"/>
    <xf numFmtId="0" fontId="0" fillId="0" borderId="38" xfId="0" applyBorder="1"/>
    <xf numFmtId="0" fontId="0" fillId="0" borderId="39" xfId="0" applyBorder="1"/>
    <xf numFmtId="0" fontId="0" fillId="0" borderId="40" xfId="0" applyBorder="1"/>
    <xf numFmtId="0" fontId="0" fillId="0" borderId="41" xfId="0" applyBorder="1"/>
    <xf numFmtId="0" fontId="0" fillId="0" borderId="42" xfId="0" applyBorder="1"/>
    <xf numFmtId="0" fontId="4" fillId="0" borderId="37" xfId="0" applyFont="1" applyBorder="1" applyAlignment="1">
      <alignment horizontal="right" vertical="center"/>
    </xf>
    <xf numFmtId="0" fontId="4" fillId="0" borderId="45" xfId="0" applyFont="1" applyBorder="1" applyAlignment="1">
      <alignment horizontal="right" vertical="center"/>
    </xf>
    <xf numFmtId="0" fontId="4" fillId="0" borderId="46" xfId="0" applyFont="1" applyBorder="1" applyAlignment="1">
      <alignment horizontal="right" vertical="center"/>
    </xf>
    <xf numFmtId="0" fontId="4" fillId="0" borderId="47" xfId="0" applyFont="1" applyBorder="1" applyAlignment="1">
      <alignment horizontal="right" vertical="center"/>
    </xf>
    <xf numFmtId="0" fontId="5" fillId="0" borderId="39" xfId="0" applyFont="1" applyBorder="1" applyAlignment="1">
      <alignment vertical="center"/>
    </xf>
    <xf numFmtId="0" fontId="4" fillId="0" borderId="48" xfId="0" applyFont="1" applyBorder="1" applyAlignment="1">
      <alignment horizontal="right" vertical="center"/>
    </xf>
    <xf numFmtId="0" fontId="4" fillId="0" borderId="49" xfId="0" applyFont="1" applyBorder="1" applyAlignment="1">
      <alignment horizontal="right" vertical="center"/>
    </xf>
    <xf numFmtId="0" fontId="0" fillId="0" borderId="0" xfId="0" applyAlignment="1">
      <alignment wrapText="1"/>
    </xf>
    <xf numFmtId="164" fontId="0" fillId="0" borderId="0" xfId="0" applyNumberFormat="1"/>
    <xf numFmtId="0" fontId="0" fillId="6" borderId="22" xfId="0" applyFill="1" applyBorder="1"/>
    <xf numFmtId="0" fontId="0" fillId="6" borderId="31" xfId="0" applyFill="1" applyBorder="1"/>
    <xf numFmtId="0" fontId="0" fillId="6" borderId="43" xfId="0" applyFill="1" applyBorder="1"/>
    <xf numFmtId="0" fontId="0" fillId="6" borderId="11" xfId="0" applyFill="1" applyBorder="1" applyAlignment="1">
      <alignment wrapText="1"/>
    </xf>
    <xf numFmtId="0" fontId="0" fillId="6" borderId="12" xfId="0" applyFill="1" applyBorder="1" applyAlignment="1">
      <alignment wrapText="1"/>
    </xf>
    <xf numFmtId="0" fontId="0" fillId="6" borderId="13" xfId="0" applyFill="1" applyBorder="1" applyAlignment="1">
      <alignment wrapText="1"/>
    </xf>
    <xf numFmtId="0" fontId="0" fillId="5" borderId="37" xfId="0" applyFill="1" applyBorder="1"/>
    <xf numFmtId="0" fontId="0" fillId="5" borderId="46" xfId="0" applyFill="1" applyBorder="1"/>
    <xf numFmtId="0" fontId="0" fillId="5" borderId="47" xfId="0" applyFill="1" applyBorder="1"/>
    <xf numFmtId="0" fontId="0" fillId="6" borderId="12" xfId="0" applyFill="1" applyBorder="1" applyAlignment="1">
      <alignment horizontal="center" wrapText="1"/>
    </xf>
    <xf numFmtId="44" fontId="0" fillId="4" borderId="4" xfId="1" applyFont="1" applyFill="1" applyBorder="1"/>
    <xf numFmtId="44" fontId="0" fillId="6" borderId="12" xfId="1" applyFont="1" applyFill="1" applyBorder="1" applyAlignment="1">
      <alignment wrapText="1"/>
    </xf>
    <xf numFmtId="44" fontId="0" fillId="4" borderId="1" xfId="1" applyFont="1" applyFill="1" applyBorder="1"/>
    <xf numFmtId="44" fontId="0" fillId="4" borderId="9" xfId="1" applyFont="1" applyFill="1" applyBorder="1"/>
    <xf numFmtId="44" fontId="0" fillId="6" borderId="11" xfId="1" applyFont="1" applyFill="1" applyBorder="1" applyAlignment="1">
      <alignment horizontal="center" wrapText="1"/>
    </xf>
    <xf numFmtId="44" fontId="0" fillId="4" borderId="3" xfId="1" applyFont="1" applyFill="1" applyBorder="1"/>
    <xf numFmtId="44" fontId="0" fillId="4" borderId="6" xfId="1" applyFont="1" applyFill="1" applyBorder="1"/>
    <xf numFmtId="44" fontId="0" fillId="4" borderId="8" xfId="1" applyFont="1" applyFill="1" applyBorder="1"/>
    <xf numFmtId="0" fontId="0" fillId="6" borderId="17" xfId="0" applyFill="1" applyBorder="1"/>
    <xf numFmtId="0" fontId="0" fillId="6" borderId="14" xfId="0" applyFill="1" applyBorder="1"/>
    <xf numFmtId="0" fontId="0" fillId="6" borderId="6" xfId="0" applyFill="1" applyBorder="1"/>
    <xf numFmtId="0" fontId="0" fillId="6" borderId="8" xfId="0" applyFill="1" applyBorder="1"/>
    <xf numFmtId="0" fontId="2" fillId="4" borderId="1" xfId="0" applyFont="1" applyFill="1" applyBorder="1"/>
    <xf numFmtId="0" fontId="2" fillId="0" borderId="0" xfId="0" applyFont="1"/>
    <xf numFmtId="0" fontId="9" fillId="0" borderId="0" xfId="0" applyFont="1"/>
    <xf numFmtId="165" fontId="9" fillId="0" borderId="0" xfId="0" applyNumberFormat="1" applyFont="1"/>
    <xf numFmtId="0" fontId="0" fillId="6" borderId="26" xfId="0" applyFill="1" applyBorder="1"/>
    <xf numFmtId="0" fontId="0" fillId="2" borderId="26" xfId="0" applyFill="1" applyBorder="1"/>
    <xf numFmtId="0" fontId="0" fillId="2" borderId="53" xfId="0" applyFill="1" applyBorder="1"/>
    <xf numFmtId="166" fontId="0" fillId="4" borderId="21" xfId="0" applyNumberFormat="1" applyFill="1" applyBorder="1"/>
    <xf numFmtId="166" fontId="0" fillId="4" borderId="7" xfId="0" applyNumberFormat="1" applyFill="1" applyBorder="1"/>
    <xf numFmtId="166" fontId="0" fillId="2" borderId="21" xfId="0" applyNumberFormat="1" applyFill="1" applyBorder="1"/>
    <xf numFmtId="166" fontId="0" fillId="2" borderId="36" xfId="0" applyNumberFormat="1" applyFill="1" applyBorder="1"/>
    <xf numFmtId="166" fontId="0" fillId="6" borderId="20" xfId="0" applyNumberFormat="1" applyFill="1" applyBorder="1"/>
    <xf numFmtId="166" fontId="0" fillId="6" borderId="19" xfId="0" applyNumberFormat="1" applyFill="1" applyBorder="1"/>
    <xf numFmtId="0" fontId="4" fillId="0" borderId="1" xfId="0" applyFont="1" applyBorder="1" applyAlignment="1">
      <alignment horizontal="right" vertical="center"/>
    </xf>
    <xf numFmtId="0" fontId="4" fillId="2" borderId="7" xfId="0" applyFont="1" applyFill="1" applyBorder="1" applyAlignment="1">
      <alignment horizontal="center"/>
    </xf>
    <xf numFmtId="0" fontId="5" fillId="0" borderId="0" xfId="0" applyFont="1" applyAlignment="1">
      <alignment vertical="center"/>
    </xf>
    <xf numFmtId="0" fontId="4" fillId="0" borderId="9" xfId="0" applyFont="1" applyBorder="1" applyAlignment="1">
      <alignment horizontal="right" vertical="center"/>
    </xf>
    <xf numFmtId="9" fontId="4" fillId="8" borderId="10" xfId="2" applyFont="1" applyFill="1" applyBorder="1"/>
    <xf numFmtId="49" fontId="0" fillId="0" borderId="0" xfId="0" applyNumberFormat="1"/>
    <xf numFmtId="0" fontId="0" fillId="6" borderId="54" xfId="0" applyFill="1" applyBorder="1" applyAlignment="1">
      <alignment wrapText="1"/>
    </xf>
    <xf numFmtId="0" fontId="0" fillId="6" borderId="55" xfId="0" applyFill="1" applyBorder="1" applyAlignment="1">
      <alignment wrapText="1"/>
    </xf>
    <xf numFmtId="0" fontId="0" fillId="6" borderId="34" xfId="0" applyFill="1" applyBorder="1" applyAlignment="1">
      <alignment wrapText="1"/>
    </xf>
    <xf numFmtId="0" fontId="0" fillId="6" borderId="27" xfId="0" applyFill="1" applyBorder="1" applyAlignment="1">
      <alignment wrapText="1"/>
    </xf>
    <xf numFmtId="166" fontId="0" fillId="4" borderId="33" xfId="0" applyNumberFormat="1" applyFill="1" applyBorder="1"/>
    <xf numFmtId="9" fontId="0" fillId="6" borderId="23" xfId="2" applyFont="1" applyFill="1" applyBorder="1"/>
    <xf numFmtId="9" fontId="0" fillId="6" borderId="24" xfId="2" applyFont="1" applyFill="1" applyBorder="1"/>
    <xf numFmtId="0" fontId="0" fillId="7" borderId="56" xfId="0" applyFill="1" applyBorder="1"/>
    <xf numFmtId="166" fontId="0" fillId="4" borderId="1" xfId="0" applyNumberFormat="1" applyFill="1" applyBorder="1"/>
    <xf numFmtId="2" fontId="0" fillId="6" borderId="12" xfId="0" applyNumberFormat="1" applyFill="1" applyBorder="1" applyAlignment="1">
      <alignment wrapText="1"/>
    </xf>
    <xf numFmtId="166" fontId="0" fillId="6" borderId="12" xfId="0" applyNumberFormat="1" applyFill="1" applyBorder="1" applyAlignment="1">
      <alignment wrapText="1"/>
    </xf>
    <xf numFmtId="166" fontId="0" fillId="6" borderId="13" xfId="0" applyNumberFormat="1" applyFill="1" applyBorder="1" applyAlignment="1">
      <alignment wrapText="1"/>
    </xf>
    <xf numFmtId="2" fontId="0" fillId="4" borderId="4" xfId="0" applyNumberFormat="1" applyFill="1" applyBorder="1"/>
    <xf numFmtId="166" fontId="0" fillId="4" borderId="4" xfId="0" applyNumberFormat="1" applyFill="1" applyBorder="1"/>
    <xf numFmtId="166" fontId="0" fillId="4" borderId="5" xfId="0" applyNumberFormat="1" applyFill="1" applyBorder="1"/>
    <xf numFmtId="2" fontId="0" fillId="4" borderId="1" xfId="0" applyNumberFormat="1" applyFill="1" applyBorder="1"/>
    <xf numFmtId="2" fontId="0" fillId="4" borderId="9" xfId="0" applyNumberFormat="1" applyFill="1" applyBorder="1"/>
    <xf numFmtId="166" fontId="0" fillId="4" borderId="9" xfId="0" applyNumberFormat="1" applyFill="1" applyBorder="1"/>
    <xf numFmtId="166" fontId="0" fillId="4" borderId="10" xfId="0" applyNumberFormat="1" applyFill="1" applyBorder="1"/>
    <xf numFmtId="0" fontId="0" fillId="4" borderId="17" xfId="0" applyFill="1" applyBorder="1"/>
    <xf numFmtId="0" fontId="0" fillId="4" borderId="18" xfId="0" applyFill="1" applyBorder="1"/>
    <xf numFmtId="44" fontId="0" fillId="4" borderId="19" xfId="0" applyNumberFormat="1" applyFill="1" applyBorder="1"/>
    <xf numFmtId="0" fontId="10" fillId="6" borderId="57" xfId="0" applyFont="1" applyFill="1" applyBorder="1" applyAlignment="1">
      <alignment vertical="center" wrapText="1"/>
    </xf>
    <xf numFmtId="0" fontId="10" fillId="6" borderId="40" xfId="0" applyFont="1" applyFill="1" applyBorder="1" applyAlignment="1">
      <alignment vertical="center" wrapText="1"/>
    </xf>
    <xf numFmtId="166" fontId="0" fillId="0" borderId="0" xfId="0" applyNumberFormat="1"/>
    <xf numFmtId="167" fontId="0" fillId="0" borderId="0" xfId="0" applyNumberFormat="1"/>
    <xf numFmtId="0" fontId="8" fillId="0" borderId="43" xfId="0" applyFont="1" applyBorder="1" applyAlignment="1">
      <alignment horizontal="center"/>
    </xf>
    <xf numFmtId="0" fontId="8" fillId="0" borderId="44" xfId="0" applyFont="1" applyBorder="1" applyAlignment="1">
      <alignment horizontal="center"/>
    </xf>
    <xf numFmtId="0" fontId="8" fillId="0" borderId="25" xfId="0" applyFont="1" applyBorder="1" applyAlignment="1">
      <alignment horizontal="center"/>
    </xf>
    <xf numFmtId="3" fontId="4" fillId="2" borderId="9" xfId="0" applyNumberFormat="1" applyFont="1" applyFill="1" applyBorder="1" applyAlignment="1">
      <alignment horizontal="center"/>
    </xf>
    <xf numFmtId="0" fontId="4" fillId="2" borderId="35" xfId="0" applyFont="1" applyFill="1" applyBorder="1" applyAlignment="1">
      <alignment horizontal="center"/>
    </xf>
    <xf numFmtId="0" fontId="4" fillId="2" borderId="1" xfId="0" applyFont="1" applyFill="1" applyBorder="1" applyAlignment="1">
      <alignment horizontal="center"/>
    </xf>
    <xf numFmtId="0" fontId="4" fillId="2" borderId="33" xfId="0" applyFont="1" applyFill="1" applyBorder="1" applyAlignment="1">
      <alignment horizontal="center"/>
    </xf>
    <xf numFmtId="14" fontId="4" fillId="2" borderId="9" xfId="0" applyNumberFormat="1" applyFont="1" applyFill="1" applyBorder="1" applyAlignment="1">
      <alignment horizontal="center"/>
    </xf>
    <xf numFmtId="0" fontId="4" fillId="2" borderId="9" xfId="0" applyFont="1" applyFill="1" applyBorder="1" applyAlignment="1">
      <alignment horizontal="center"/>
    </xf>
    <xf numFmtId="0" fontId="3" fillId="0" borderId="43" xfId="0" applyFont="1" applyBorder="1" applyAlignment="1">
      <alignment horizontal="center" vertical="center" wrapText="1"/>
    </xf>
    <xf numFmtId="0" fontId="3" fillId="0" borderId="44" xfId="0" applyFont="1" applyBorder="1" applyAlignment="1">
      <alignment horizontal="center" vertical="center" wrapText="1"/>
    </xf>
    <xf numFmtId="0" fontId="3" fillId="0" borderId="25" xfId="0" applyFont="1" applyBorder="1" applyAlignment="1">
      <alignment horizontal="center" vertical="center" wrapText="1"/>
    </xf>
    <xf numFmtId="0" fontId="4" fillId="2" borderId="4" xfId="0" applyFont="1" applyFill="1" applyBorder="1" applyAlignment="1">
      <alignment horizontal="center"/>
    </xf>
    <xf numFmtId="0" fontId="4" fillId="2" borderId="50" xfId="0" applyFont="1" applyFill="1" applyBorder="1" applyAlignment="1">
      <alignment horizontal="center"/>
    </xf>
    <xf numFmtId="2" fontId="4" fillId="2" borderId="1" xfId="0" applyNumberFormat="1" applyFont="1" applyFill="1" applyBorder="1" applyAlignment="1">
      <alignment horizontal="center"/>
    </xf>
    <xf numFmtId="9" fontId="4" fillId="2" borderId="1" xfId="2" applyFont="1" applyFill="1" applyBorder="1" applyAlignment="1">
      <alignment horizontal="center"/>
    </xf>
    <xf numFmtId="9" fontId="4" fillId="2" borderId="33" xfId="2" applyFont="1" applyFill="1" applyBorder="1" applyAlignment="1">
      <alignment horizontal="center"/>
    </xf>
    <xf numFmtId="3" fontId="4" fillId="2" borderId="1" xfId="0" applyNumberFormat="1" applyFont="1" applyFill="1" applyBorder="1" applyAlignment="1">
      <alignment horizontal="center"/>
    </xf>
    <xf numFmtId="3" fontId="4" fillId="2" borderId="33" xfId="0" applyNumberFormat="1" applyFont="1" applyFill="1" applyBorder="1" applyAlignment="1">
      <alignment horizontal="center"/>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4" fillId="2" borderId="15" xfId="0" applyFont="1" applyFill="1" applyBorder="1" applyAlignment="1">
      <alignment horizontal="center"/>
    </xf>
    <xf numFmtId="0" fontId="4" fillId="2" borderId="34" xfId="0" applyFont="1" applyFill="1" applyBorder="1" applyAlignment="1">
      <alignment horizontal="center"/>
    </xf>
    <xf numFmtId="0" fontId="0" fillId="2" borderId="6" xfId="0" applyFill="1" applyBorder="1"/>
    <xf numFmtId="0" fontId="0" fillId="2" borderId="7" xfId="0" applyFill="1" applyBorder="1"/>
    <xf numFmtId="0" fontId="0" fillId="6" borderId="6" xfId="0" applyFill="1" applyBorder="1"/>
    <xf numFmtId="0" fontId="0" fillId="6" borderId="7" xfId="0" applyFill="1" applyBorder="1"/>
    <xf numFmtId="0" fontId="0" fillId="2" borderId="51" xfId="0" applyFill="1" applyBorder="1"/>
    <xf numFmtId="0" fontId="0" fillId="2" borderId="52" xfId="0" applyFill="1" applyBorder="1"/>
    <xf numFmtId="0" fontId="0" fillId="6" borderId="17" xfId="0" applyFill="1" applyBorder="1"/>
    <xf numFmtId="0" fontId="0" fillId="6" borderId="19" xfId="0" applyFill="1" applyBorder="1"/>
    <xf numFmtId="166" fontId="0" fillId="7" borderId="1" xfId="0" applyNumberFormat="1" applyFill="1" applyBorder="1"/>
    <xf numFmtId="166" fontId="0" fillId="7" borderId="9" xfId="0" applyNumberFormat="1" applyFill="1" applyBorder="1"/>
    <xf numFmtId="166" fontId="0" fillId="4" borderId="15" xfId="0" applyNumberFormat="1" applyFill="1" applyBorder="1"/>
    <xf numFmtId="166" fontId="0" fillId="4" borderId="1" xfId="0" applyNumberFormat="1" applyFill="1" applyBorder="1"/>
    <xf numFmtId="166" fontId="0" fillId="4" borderId="7" xfId="0" applyNumberFormat="1" applyFill="1" applyBorder="1"/>
    <xf numFmtId="10" fontId="0" fillId="4" borderId="9" xfId="2" applyNumberFormat="1" applyFont="1" applyFill="1" applyBorder="1" applyAlignment="1"/>
    <xf numFmtId="10" fontId="0" fillId="4" borderId="10" xfId="2" applyNumberFormat="1" applyFont="1" applyFill="1" applyBorder="1" applyAlignment="1"/>
    <xf numFmtId="166" fontId="0" fillId="4" borderId="16" xfId="0" applyNumberFormat="1" applyFill="1" applyBorder="1"/>
    <xf numFmtId="0" fontId="0" fillId="7" borderId="1" xfId="0" applyFill="1" applyBorder="1"/>
    <xf numFmtId="0" fontId="0" fillId="7" borderId="9" xfId="0" applyFill="1" applyBorder="1"/>
    <xf numFmtId="0" fontId="0" fillId="4" borderId="1" xfId="0" applyFill="1" applyBorder="1"/>
    <xf numFmtId="0" fontId="0" fillId="4" borderId="7" xfId="0" applyFill="1" applyBorder="1"/>
    <xf numFmtId="44" fontId="0" fillId="4" borderId="15" xfId="1" applyFont="1" applyFill="1" applyBorder="1" applyAlignment="1"/>
    <xf numFmtId="44" fontId="0" fillId="4" borderId="16" xfId="1" applyFont="1" applyFill="1" applyBorder="1" applyAlignment="1"/>
    <xf numFmtId="44" fontId="0" fillId="4" borderId="1" xfId="1" applyFont="1" applyFill="1" applyBorder="1" applyAlignment="1"/>
    <xf numFmtId="44" fontId="0" fillId="4" borderId="7" xfId="1" applyFont="1" applyFill="1" applyBorder="1" applyAlignment="1"/>
    <xf numFmtId="9" fontId="0" fillId="4" borderId="9" xfId="2" applyFont="1" applyFill="1" applyBorder="1" applyAlignment="1"/>
    <xf numFmtId="9" fontId="0" fillId="4" borderId="10" xfId="2" applyFont="1" applyFill="1" applyBorder="1" applyAlignment="1"/>
    <xf numFmtId="0" fontId="0" fillId="4" borderId="15" xfId="0" applyFill="1" applyBorder="1"/>
    <xf numFmtId="0" fontId="0" fillId="4" borderId="16" xfId="0" applyFill="1" applyBorder="1"/>
    <xf numFmtId="44" fontId="0" fillId="7" borderId="1" xfId="1" applyFont="1" applyFill="1" applyBorder="1" applyAlignment="1"/>
    <xf numFmtId="0" fontId="8" fillId="6" borderId="43" xfId="0" applyFont="1" applyFill="1" applyBorder="1" applyAlignment="1">
      <alignment horizontal="center"/>
    </xf>
    <xf numFmtId="0" fontId="8" fillId="6" borderId="44" xfId="0" applyFont="1" applyFill="1" applyBorder="1" applyAlignment="1">
      <alignment horizontal="center"/>
    </xf>
    <xf numFmtId="0" fontId="8" fillId="6" borderId="40" xfId="0" applyFont="1" applyFill="1" applyBorder="1" applyAlignment="1">
      <alignment horizontal="center"/>
    </xf>
    <xf numFmtId="0" fontId="8" fillId="6" borderId="39" xfId="0" applyFont="1" applyFill="1" applyBorder="1" applyAlignment="1">
      <alignment horizontal="center"/>
    </xf>
    <xf numFmtId="0" fontId="0" fillId="6" borderId="18" xfId="0" applyFill="1" applyBorder="1" applyAlignment="1">
      <alignment horizontal="center"/>
    </xf>
    <xf numFmtId="0" fontId="0" fillId="6" borderId="19" xfId="0" applyFill="1" applyBorder="1" applyAlignment="1">
      <alignment horizontal="center"/>
    </xf>
    <xf numFmtId="0" fontId="8" fillId="6" borderId="25" xfId="0" applyFont="1" applyFill="1" applyBorder="1" applyAlignment="1">
      <alignment horizontal="center"/>
    </xf>
    <xf numFmtId="0" fontId="0" fillId="6" borderId="14" xfId="0" applyFill="1" applyBorder="1" applyAlignment="1">
      <alignment horizontal="center" wrapText="1"/>
    </xf>
    <xf numFmtId="0" fontId="0" fillId="6" borderId="16" xfId="0" applyFill="1" applyBorder="1" applyAlignment="1">
      <alignment horizontal="center" wrapText="1"/>
    </xf>
    <xf numFmtId="0" fontId="0" fillId="0" borderId="38" xfId="0" applyBorder="1" applyAlignment="1">
      <alignment horizontal="left" vertical="top" wrapText="1"/>
    </xf>
    <xf numFmtId="0" fontId="0" fillId="0" borderId="39" xfId="0" applyBorder="1" applyAlignment="1">
      <alignment horizontal="left" vertical="top" wrapText="1"/>
    </xf>
    <xf numFmtId="0" fontId="0" fillId="0" borderId="40" xfId="0" applyBorder="1" applyAlignment="1">
      <alignment horizontal="left" vertical="top" wrapText="1"/>
    </xf>
    <xf numFmtId="0" fontId="0" fillId="0" borderId="41" xfId="0" applyBorder="1" applyAlignment="1">
      <alignment horizontal="left" vertical="top" wrapText="1"/>
    </xf>
    <xf numFmtId="0" fontId="0" fillId="0" borderId="0" xfId="0" applyAlignment="1">
      <alignment horizontal="left" vertical="top" wrapText="1"/>
    </xf>
    <xf numFmtId="0" fontId="0" fillId="0" borderId="29" xfId="0" applyBorder="1" applyAlignment="1">
      <alignment horizontal="left" vertical="top" wrapText="1"/>
    </xf>
    <xf numFmtId="0" fontId="0" fillId="0" borderId="42" xfId="0" applyBorder="1" applyAlignment="1">
      <alignment horizontal="left" vertical="top" wrapText="1"/>
    </xf>
    <xf numFmtId="0" fontId="0" fillId="0" borderId="31" xfId="0" applyBorder="1" applyAlignment="1">
      <alignment horizontal="left" vertical="top" wrapText="1"/>
    </xf>
    <xf numFmtId="0" fontId="0" fillId="0" borderId="32" xfId="0" applyBorder="1" applyAlignment="1">
      <alignment horizontal="left" vertical="top" wrapText="1"/>
    </xf>
    <xf numFmtId="0" fontId="2" fillId="4" borderId="33" xfId="0" applyFont="1" applyFill="1" applyBorder="1" applyAlignment="1">
      <alignment horizontal="center"/>
    </xf>
    <xf numFmtId="0" fontId="2" fillId="4" borderId="21" xfId="0" applyFont="1" applyFill="1" applyBorder="1" applyAlignment="1">
      <alignment horizontal="center"/>
    </xf>
    <xf numFmtId="0" fontId="0" fillId="2" borderId="1" xfId="0" applyFill="1" applyBorder="1" applyAlignment="1">
      <alignment horizontal="center"/>
    </xf>
  </cellXfs>
  <cellStyles count="3">
    <cellStyle name="Currency" xfId="1" builtinId="4"/>
    <cellStyle name="Normal" xfId="0" builtinId="0"/>
    <cellStyle name="Percent" xfId="2" builtinId="5"/>
  </cellStyles>
  <dxfs count="9">
    <dxf>
      <font>
        <color rgb="FF006100"/>
      </font>
      <fill>
        <patternFill>
          <bgColor rgb="FFC6EFCE"/>
        </patternFill>
      </fill>
    </dxf>
    <dxf>
      <font>
        <color rgb="FF9C0006"/>
      </font>
      <fill>
        <patternFill>
          <bgColor rgb="FFFFC7CE"/>
        </patternFill>
      </fill>
    </dxf>
    <dxf>
      <fill>
        <patternFill>
          <bgColor theme="6" tint="0.79998168889431442"/>
        </patternFill>
      </fill>
    </dxf>
    <dxf>
      <font>
        <color theme="9" tint="-0.499984740745262"/>
      </font>
      <fill>
        <patternFill>
          <fgColor auto="1"/>
          <bgColor theme="9" tint="0.79998168889431442"/>
        </patternFill>
      </fill>
    </dxf>
    <dxf>
      <font>
        <color rgb="FF9C0006"/>
      </font>
      <fill>
        <patternFill>
          <bgColor rgb="FFFFC7CE"/>
        </patternFill>
      </fill>
    </dxf>
    <dxf>
      <font>
        <color theme="1"/>
      </font>
      <fill>
        <patternFill>
          <fgColor auto="1"/>
          <bgColor theme="6" tint="0.79998168889431442"/>
        </patternFill>
      </fill>
    </dxf>
    <dxf>
      <fill>
        <patternFill>
          <bgColor theme="9" tint="0.79998168889431442"/>
        </patternFill>
      </fill>
    </dxf>
    <dxf>
      <fill>
        <patternFill>
          <bgColor theme="6" tint="0.79998168889431442"/>
        </patternFill>
      </fill>
    </dxf>
    <dxf>
      <font>
        <color rgb="FFC00000"/>
      </font>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B732F-ABBF-49CA-82AD-12F45798A318}">
  <sheetPr>
    <pageSetUpPr fitToPage="1"/>
  </sheetPr>
  <dimension ref="B1:H24"/>
  <sheetViews>
    <sheetView zoomScale="120" zoomScaleNormal="120" workbookViewId="0">
      <selection activeCell="B2" sqref="B2"/>
    </sheetView>
  </sheetViews>
  <sheetFormatPr defaultRowHeight="15" x14ac:dyDescent="0.25"/>
  <cols>
    <col min="1" max="1" width="3.28515625" customWidth="1"/>
    <col min="2" max="2" width="26.42578125" customWidth="1"/>
    <col min="4" max="4" width="13.5703125" customWidth="1"/>
    <col min="5" max="5" width="14.85546875" customWidth="1"/>
    <col min="6" max="6" width="4" customWidth="1"/>
    <col min="7" max="7" width="22.140625" bestFit="1" customWidth="1"/>
    <col min="8" max="8" width="14.85546875" customWidth="1"/>
  </cols>
  <sheetData>
    <row r="1" spans="2:8" x14ac:dyDescent="0.25">
      <c r="B1" t="s">
        <v>172</v>
      </c>
    </row>
    <row r="2" spans="2:8" x14ac:dyDescent="0.25">
      <c r="B2" s="68" t="s">
        <v>170</v>
      </c>
    </row>
    <row r="3" spans="2:8" x14ac:dyDescent="0.25">
      <c r="B3" s="68"/>
    </row>
    <row r="4" spans="2:8" ht="15.75" thickBot="1" x14ac:dyDescent="0.3">
      <c r="B4" s="68"/>
    </row>
    <row r="5" spans="2:8" ht="27" thickBot="1" x14ac:dyDescent="0.45">
      <c r="B5" s="95" t="s">
        <v>154</v>
      </c>
      <c r="C5" s="96"/>
      <c r="D5" s="96"/>
      <c r="E5" s="96"/>
      <c r="F5" s="96"/>
      <c r="G5" s="96"/>
      <c r="H5" s="97"/>
    </row>
    <row r="6" spans="2:8" ht="15.75" thickBot="1" x14ac:dyDescent="0.3">
      <c r="B6" s="114" t="s">
        <v>44</v>
      </c>
      <c r="C6" s="115"/>
      <c r="D6" s="115"/>
      <c r="E6" s="115"/>
      <c r="F6" s="116"/>
      <c r="G6" s="116"/>
      <c r="H6" s="117"/>
    </row>
    <row r="7" spans="2:8" x14ac:dyDescent="0.25">
      <c r="B7" s="9" t="s">
        <v>45</v>
      </c>
      <c r="C7" s="118"/>
      <c r="D7" s="118"/>
      <c r="E7" s="119"/>
      <c r="F7" s="14"/>
      <c r="G7" s="15"/>
      <c r="H7" s="16"/>
    </row>
    <row r="8" spans="2:8" x14ac:dyDescent="0.25">
      <c r="B8" s="9" t="s">
        <v>46</v>
      </c>
      <c r="C8" s="100"/>
      <c r="D8" s="100"/>
      <c r="E8" s="101"/>
      <c r="F8" s="17"/>
      <c r="H8" s="10"/>
    </row>
    <row r="9" spans="2:8" x14ac:dyDescent="0.25">
      <c r="B9" s="9" t="s">
        <v>47</v>
      </c>
      <c r="C9" s="100"/>
      <c r="D9" s="100"/>
      <c r="E9" s="101"/>
      <c r="F9" s="17"/>
      <c r="G9" s="63" t="s">
        <v>150</v>
      </c>
      <c r="H9" s="64"/>
    </row>
    <row r="10" spans="2:8" x14ac:dyDescent="0.25">
      <c r="B10" s="9" t="s">
        <v>48</v>
      </c>
      <c r="C10" s="100"/>
      <c r="D10" s="100"/>
      <c r="E10" s="101"/>
      <c r="F10" s="17"/>
      <c r="G10" s="63" t="s">
        <v>151</v>
      </c>
      <c r="H10" s="64"/>
    </row>
    <row r="11" spans="2:8" x14ac:dyDescent="0.25">
      <c r="B11" s="9" t="s">
        <v>49</v>
      </c>
      <c r="C11" s="100"/>
      <c r="D11" s="100"/>
      <c r="E11" s="101"/>
      <c r="F11" s="17"/>
      <c r="H11" s="10"/>
    </row>
    <row r="12" spans="2:8" x14ac:dyDescent="0.25">
      <c r="B12" s="9" t="s">
        <v>50</v>
      </c>
      <c r="C12" s="100"/>
      <c r="D12" s="100"/>
      <c r="E12" s="101"/>
      <c r="F12" s="17"/>
      <c r="H12" s="10"/>
    </row>
    <row r="13" spans="2:8" ht="15.75" thickBot="1" x14ac:dyDescent="0.3">
      <c r="B13" s="11" t="s">
        <v>51</v>
      </c>
      <c r="C13" s="102"/>
      <c r="D13" s="103"/>
      <c r="E13" s="99"/>
      <c r="F13" s="18"/>
      <c r="G13" s="12"/>
      <c r="H13" s="13"/>
    </row>
    <row r="14" spans="2:8" ht="15.75" thickBot="1" x14ac:dyDescent="0.3"/>
    <row r="15" spans="2:8" ht="15.75" thickBot="1" x14ac:dyDescent="0.3">
      <c r="B15" s="104" t="s">
        <v>52</v>
      </c>
      <c r="C15" s="105"/>
      <c r="D15" s="105"/>
      <c r="E15" s="105"/>
      <c r="F15" s="105"/>
      <c r="G15" s="105"/>
      <c r="H15" s="106"/>
    </row>
    <row r="16" spans="2:8" x14ac:dyDescent="0.25">
      <c r="B16" s="24"/>
      <c r="C16" s="25" t="s">
        <v>53</v>
      </c>
      <c r="D16" s="107"/>
      <c r="E16" s="108"/>
      <c r="F16" s="14"/>
      <c r="G16" s="23"/>
      <c r="H16" s="16"/>
    </row>
    <row r="17" spans="2:8" x14ac:dyDescent="0.25">
      <c r="B17" s="9"/>
      <c r="C17" s="19" t="s">
        <v>54</v>
      </c>
      <c r="D17" s="100"/>
      <c r="E17" s="101"/>
      <c r="F17" s="17"/>
      <c r="G17" s="65"/>
      <c r="H17" s="10"/>
    </row>
    <row r="18" spans="2:8" x14ac:dyDescent="0.25">
      <c r="B18" s="20"/>
      <c r="C18" s="21" t="s">
        <v>55</v>
      </c>
      <c r="D18" s="109"/>
      <c r="E18" s="101"/>
      <c r="F18" s="17"/>
      <c r="H18" s="10"/>
    </row>
    <row r="19" spans="2:8" x14ac:dyDescent="0.25">
      <c r="B19" s="20"/>
      <c r="C19" s="21" t="s">
        <v>56</v>
      </c>
      <c r="D19" s="110"/>
      <c r="E19" s="111"/>
      <c r="F19" s="17"/>
      <c r="H19" s="10"/>
    </row>
    <row r="20" spans="2:8" x14ac:dyDescent="0.25">
      <c r="B20" s="20"/>
      <c r="C20" s="21" t="s">
        <v>57</v>
      </c>
      <c r="D20" s="112"/>
      <c r="E20" s="113"/>
      <c r="F20" s="17"/>
      <c r="H20" s="10"/>
    </row>
    <row r="21" spans="2:8" x14ac:dyDescent="0.25">
      <c r="B21" s="20"/>
      <c r="C21" s="21" t="s">
        <v>58</v>
      </c>
      <c r="D21" s="100"/>
      <c r="E21" s="101"/>
      <c r="F21" s="17"/>
      <c r="H21" s="10"/>
    </row>
    <row r="22" spans="2:8" x14ac:dyDescent="0.25">
      <c r="B22" s="20"/>
      <c r="C22" s="21" t="s">
        <v>59</v>
      </c>
      <c r="D22" s="112"/>
      <c r="E22" s="113"/>
      <c r="F22" s="17"/>
      <c r="H22" s="10"/>
    </row>
    <row r="23" spans="2:8" x14ac:dyDescent="0.25">
      <c r="B23" s="20"/>
      <c r="C23" s="21" t="s">
        <v>60</v>
      </c>
      <c r="D23" s="100"/>
      <c r="E23" s="101"/>
      <c r="F23" s="17"/>
      <c r="G23" s="63" t="s">
        <v>152</v>
      </c>
      <c r="H23" s="64"/>
    </row>
    <row r="24" spans="2:8" ht="15.75" thickBot="1" x14ac:dyDescent="0.3">
      <c r="B24" s="11"/>
      <c r="C24" s="22" t="s">
        <v>61</v>
      </c>
      <c r="D24" s="98"/>
      <c r="E24" s="99"/>
      <c r="F24" s="18"/>
      <c r="G24" s="66" t="s">
        <v>153</v>
      </c>
      <c r="H24" s="67" t="e">
        <f>H23/D22</f>
        <v>#DIV/0!</v>
      </c>
    </row>
  </sheetData>
  <mergeCells count="19">
    <mergeCell ref="C8:E8"/>
    <mergeCell ref="C9:E9"/>
    <mergeCell ref="C10:E10"/>
    <mergeCell ref="B5:H5"/>
    <mergeCell ref="D24:E24"/>
    <mergeCell ref="C12:E12"/>
    <mergeCell ref="C13:E13"/>
    <mergeCell ref="B15:H15"/>
    <mergeCell ref="D16:E16"/>
    <mergeCell ref="D17:E17"/>
    <mergeCell ref="D18:E18"/>
    <mergeCell ref="D19:E19"/>
    <mergeCell ref="D20:E20"/>
    <mergeCell ref="D21:E21"/>
    <mergeCell ref="D22:E22"/>
    <mergeCell ref="D23:E23"/>
    <mergeCell ref="C11:E11"/>
    <mergeCell ref="B6:H6"/>
    <mergeCell ref="C7:E7"/>
  </mergeCells>
  <pageMargins left="0.25" right="0.25" top="0.75" bottom="0.75" header="0.3" footer="0.3"/>
  <pageSetup scale="97"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6C02B-4952-44E4-8530-692D3040E6F8}">
  <dimension ref="A1:W21"/>
  <sheetViews>
    <sheetView workbookViewId="0">
      <selection activeCell="P1" sqref="P1:P1048576"/>
    </sheetView>
  </sheetViews>
  <sheetFormatPr defaultRowHeight="15" x14ac:dyDescent="0.25"/>
  <cols>
    <col min="1" max="1" width="29.85546875" customWidth="1"/>
    <col min="2" max="2" width="18.7109375" customWidth="1"/>
    <col min="4" max="4" width="14.7109375" customWidth="1"/>
    <col min="16" max="16" width="2" hidden="1" customWidth="1"/>
    <col min="17" max="17" width="18.85546875" customWidth="1"/>
    <col min="19" max="19" width="9.140625" customWidth="1"/>
    <col min="20" max="20" width="13.42578125" customWidth="1"/>
    <col min="21" max="21" width="14.7109375" customWidth="1"/>
    <col min="22" max="22" width="11.28515625" customWidth="1"/>
    <col min="23" max="23" width="9.140625" customWidth="1"/>
  </cols>
  <sheetData>
    <row r="1" spans="1:23" x14ac:dyDescent="0.25">
      <c r="A1" t="s">
        <v>83</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cm="1">
        <f t="array" ref="S5:S8">VLOOKUP(B5:B8,'Calcs and References'!A2:E6,5)</f>
        <v>ELEC</v>
      </c>
      <c r="T5">
        <f>VLOOKUP(B5,'Calcs and References'!A$2:D$6,4)*O5</f>
        <v>0</v>
      </c>
      <c r="U5" t="e">
        <f>T5*1000/'Basic Info'!$D$22</f>
        <v>#DIV/0!</v>
      </c>
      <c r="V5" t="e">
        <f>U5*VLOOKUP(B5,'Calcs and References'!A$2:D$6,3)</f>
        <v>#DIV/0!</v>
      </c>
      <c r="W5">
        <f>VLOOKUP(B5,'Calcs and References'!A$2:E$6,2)*O5</f>
        <v>0</v>
      </c>
    </row>
    <row r="6" spans="1:23" x14ac:dyDescent="0.25">
      <c r="A6" s="1"/>
      <c r="B6" s="1" t="s">
        <v>22</v>
      </c>
      <c r="C6" s="1"/>
      <c r="D6" s="1"/>
      <c r="E6" s="1"/>
      <c r="F6" s="1"/>
      <c r="G6" s="1"/>
      <c r="H6" s="1"/>
      <c r="I6" s="1"/>
      <c r="J6" s="1"/>
      <c r="K6" s="1"/>
      <c r="L6" s="1"/>
      <c r="M6" s="1"/>
      <c r="N6" s="1"/>
      <c r="O6" s="1"/>
      <c r="P6">
        <f>SUM(C6:N6)</f>
        <v>0</v>
      </c>
      <c r="Q6" s="50" t="str">
        <f>IF(ABS(P6-O6)&lt;5," ","Sum not correct")</f>
        <v xml:space="preserve"> </v>
      </c>
      <c r="S6" t="str">
        <v>FF</v>
      </c>
      <c r="T6">
        <f>VLOOKUP(B6,'Calcs and References'!A$2:D$6,4)*O6</f>
        <v>0</v>
      </c>
      <c r="U6" t="e">
        <f>T6*1000/'Basic Info'!$D$22</f>
        <v>#DIV/0!</v>
      </c>
      <c r="V6" t="e">
        <f>U6*VLOOKUP(B6,'Calcs and References'!A$2:D$6,3)</f>
        <v>#DIV/0!</v>
      </c>
      <c r="W6">
        <f>VLOOKUP(B6,'Calcs and References'!A$2:E$6,2)*O6</f>
        <v>0</v>
      </c>
    </row>
    <row r="7" spans="1:23" x14ac:dyDescent="0.25">
      <c r="A7" s="1"/>
      <c r="B7" s="1"/>
      <c r="C7" s="1"/>
      <c r="D7" s="1"/>
      <c r="E7" s="1"/>
      <c r="F7" s="1"/>
      <c r="G7" s="1"/>
      <c r="H7" s="1"/>
      <c r="I7" s="1"/>
      <c r="J7" s="1"/>
      <c r="K7" s="1"/>
      <c r="L7" s="1"/>
      <c r="M7" s="1"/>
      <c r="N7" s="1"/>
      <c r="O7" s="1"/>
      <c r="P7">
        <f t="shared" ref="P7:P8" si="0">SUM(C7:N7)</f>
        <v>0</v>
      </c>
      <c r="Q7" s="50" t="str">
        <f>IF(ABS(P7-O7)&lt;5," ","Sum not correct")</f>
        <v xml:space="preserve"> </v>
      </c>
      <c r="S7" t="e">
        <v>#N/A</v>
      </c>
      <c r="T7" t="e">
        <f>VLOOKUP(B7,'Calcs and References'!A$2:D$6,4)*O7</f>
        <v>#N/A</v>
      </c>
      <c r="U7" t="e">
        <f>T7*1000/'Basic Info'!$D$22</f>
        <v>#N/A</v>
      </c>
      <c r="V7" t="e">
        <f>U7*VLOOKUP(B7,'Calcs and References'!A$2:D$6,3)</f>
        <v>#N/A</v>
      </c>
      <c r="W7" t="e">
        <f>VLOOKUP(B7,'Calcs and References'!A$2:E$6,2)*O7</f>
        <v>#N/A</v>
      </c>
    </row>
    <row r="8" spans="1:23" x14ac:dyDescent="0.25">
      <c r="A8" s="1"/>
      <c r="B8" s="1"/>
      <c r="C8" s="1"/>
      <c r="D8" s="1"/>
      <c r="E8" s="1"/>
      <c r="F8" s="1"/>
      <c r="G8" s="1"/>
      <c r="H8" s="1"/>
      <c r="I8" s="1"/>
      <c r="J8" s="1"/>
      <c r="K8" s="1"/>
      <c r="L8" s="1"/>
      <c r="M8" s="1"/>
      <c r="N8" s="1"/>
      <c r="O8" s="1"/>
      <c r="P8">
        <f t="shared" si="0"/>
        <v>0</v>
      </c>
      <c r="Q8" s="50" t="str">
        <f>IF(ABS(P8-O8)&lt;4," ","Sum not correct")</f>
        <v xml:space="preserve"> </v>
      </c>
      <c r="S8" t="e">
        <v>#N/A</v>
      </c>
      <c r="T8" t="e">
        <f>VLOOKUP(B8,'Calcs and References'!A$2:D$6,4)*O8</f>
        <v>#N/A</v>
      </c>
      <c r="U8" t="e">
        <f>T8*1000/'Basic Info'!$D$22</f>
        <v>#N/A</v>
      </c>
      <c r="V8" t="e">
        <f>U8*VLOOKUP(B8,'Calcs and References'!A$2:D$6,3)</f>
        <v>#N/A</v>
      </c>
      <c r="W8" t="e">
        <f>VLOOKUP(B8,'Calcs and References'!A$2:E$6,2)*O8</f>
        <v>#N/A</v>
      </c>
    </row>
    <row r="9" spans="1:23" x14ac:dyDescent="0.25">
      <c r="V9" t="e">
        <f>SUMIF(V5:V8,"&lt;&gt;#N/A")</f>
        <v>#DIV/0!</v>
      </c>
      <c r="W9">
        <f>SUMIF(W5:W8,"&lt;&gt;#N/A")</f>
        <v>0</v>
      </c>
    </row>
    <row r="10" spans="1:23" x14ac:dyDescent="0.25">
      <c r="T10" t="s">
        <v>69</v>
      </c>
      <c r="U10" t="s">
        <v>70</v>
      </c>
    </row>
    <row r="11" spans="1:23" x14ac:dyDescent="0.25">
      <c r="A11" t="s">
        <v>25</v>
      </c>
      <c r="T11">
        <f>SUMIF(_xlfn.ANCHORARRAY(S5),S2,O5:O8)</f>
        <v>0</v>
      </c>
      <c r="U11" s="27">
        <f>SUMIF(_xlfn.ANCHORARRAY(S5),S2,T5:T8)</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SUMIF(_xlfn.ANCHORARRAY(S5),T2,T5:T8)</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SUMIF(_xlfn.ANCHORARRAY(S5),U2,T5:T8)</f>
        <v>0</v>
      </c>
    </row>
    <row r="16" spans="1:23" x14ac:dyDescent="0.25">
      <c r="A16" s="1"/>
      <c r="B16" s="1"/>
      <c r="C16" s="1"/>
      <c r="D16" s="1"/>
      <c r="E16" s="1"/>
      <c r="F16" s="1"/>
      <c r="G16" s="1"/>
      <c r="H16" s="1"/>
    </row>
    <row r="17" spans="1:8" ht="30" x14ac:dyDescent="0.25">
      <c r="F17" s="3" t="s">
        <v>32</v>
      </c>
      <c r="G17" s="4" t="s">
        <v>23</v>
      </c>
      <c r="H17" s="4"/>
    </row>
    <row r="18" spans="1:8" x14ac:dyDescent="0.25">
      <c r="F18" s="1"/>
      <c r="G18" s="167" t="str">
        <f>IF(ABS(F13+F14+F15+F16-F18)&lt;5," ","Sum not correct")</f>
        <v xml:space="preserve"> </v>
      </c>
      <c r="H18" s="168"/>
    </row>
    <row r="20" spans="1:8" x14ac:dyDescent="0.25">
      <c r="A20" s="2" t="s">
        <v>37</v>
      </c>
    </row>
    <row r="21" spans="1:8" x14ac:dyDescent="0.25">
      <c r="A21" s="169"/>
      <c r="B21" s="169"/>
      <c r="C21" s="169"/>
      <c r="D21" s="169"/>
    </row>
  </sheetData>
  <mergeCells count="2">
    <mergeCell ref="A21:D2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6EA55BC-B756-4E0F-8AAE-A9FF1BD3D878}">
          <x14:formula1>
            <xm:f>'Calcs and References'!$A$2:$A$9</xm:f>
          </x14:formula1>
          <xm:sqref>B13:B16 B5:B8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B5346-49B1-4F81-9DA2-210A6369CB22}">
  <dimension ref="A1:W21"/>
  <sheetViews>
    <sheetView workbookViewId="0">
      <selection activeCell="P1" sqref="P1:P1048576"/>
    </sheetView>
  </sheetViews>
  <sheetFormatPr defaultRowHeight="15" x14ac:dyDescent="0.25"/>
  <cols>
    <col min="1" max="1" width="29.85546875" customWidth="1"/>
    <col min="2" max="2" width="18.7109375" customWidth="1"/>
    <col min="4" max="4" width="14.7109375" customWidth="1"/>
    <col min="16" max="16" width="2" hidden="1" customWidth="1"/>
    <col min="17" max="17" width="18.85546875" customWidth="1"/>
    <col min="19" max="19" width="9.140625" customWidth="1"/>
    <col min="20" max="20" width="13.42578125" customWidth="1"/>
    <col min="21" max="21" width="14.7109375" customWidth="1"/>
    <col min="22" max="22" width="11.28515625" customWidth="1"/>
    <col min="23" max="23" width="9.140625" customWidth="1"/>
  </cols>
  <sheetData>
    <row r="1" spans="1:23" x14ac:dyDescent="0.25">
      <c r="A1" t="s">
        <v>82</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cm="1">
        <f t="array" ref="S5:S8">VLOOKUP(B5:B8,'Calcs and References'!A2:E6,5)</f>
        <v>ELEC</v>
      </c>
      <c r="T5">
        <f>VLOOKUP(B5,'Calcs and References'!A$2:D$6,4)*O5</f>
        <v>0</v>
      </c>
      <c r="U5" t="e">
        <f>T5*1000/'Basic Info'!$D$22</f>
        <v>#DIV/0!</v>
      </c>
      <c r="V5" t="e">
        <f>U5*VLOOKUP(B5,'Calcs and References'!A$2:D$6,3)</f>
        <v>#DIV/0!</v>
      </c>
      <c r="W5">
        <f>VLOOKUP(B5,'Calcs and References'!A$2:E$6,2)*O5</f>
        <v>0</v>
      </c>
    </row>
    <row r="6" spans="1:23" x14ac:dyDescent="0.25">
      <c r="A6" s="1"/>
      <c r="B6" s="1" t="s">
        <v>22</v>
      </c>
      <c r="C6" s="1"/>
      <c r="D6" s="1"/>
      <c r="E6" s="1"/>
      <c r="F6" s="1"/>
      <c r="G6" s="1"/>
      <c r="H6" s="1"/>
      <c r="I6" s="1"/>
      <c r="J6" s="1"/>
      <c r="K6" s="1"/>
      <c r="L6" s="1"/>
      <c r="M6" s="1"/>
      <c r="N6" s="1"/>
      <c r="O6" s="1"/>
      <c r="P6">
        <f>SUM(C6:N6)</f>
        <v>0</v>
      </c>
      <c r="Q6" s="50" t="str">
        <f>IF(ABS(P6-O6)&lt;5," ","Sum not correct")</f>
        <v xml:space="preserve"> </v>
      </c>
      <c r="S6" t="str">
        <v>FF</v>
      </c>
      <c r="T6">
        <f>VLOOKUP(B6,'Calcs and References'!A$2:D$6,4)*O6</f>
        <v>0</v>
      </c>
      <c r="U6" t="e">
        <f>T6*1000/'Basic Info'!$D$22</f>
        <v>#DIV/0!</v>
      </c>
      <c r="V6" t="e">
        <f>U6*VLOOKUP(B6,'Calcs and References'!A$2:D$6,3)</f>
        <v>#DIV/0!</v>
      </c>
      <c r="W6">
        <f>VLOOKUP(B6,'Calcs and References'!A$2:E$6,2)*O6</f>
        <v>0</v>
      </c>
    </row>
    <row r="7" spans="1:23" x14ac:dyDescent="0.25">
      <c r="A7" s="1"/>
      <c r="B7" s="1"/>
      <c r="C7" s="1"/>
      <c r="D7" s="1"/>
      <c r="E7" s="1"/>
      <c r="F7" s="1"/>
      <c r="G7" s="1"/>
      <c r="H7" s="1"/>
      <c r="I7" s="1"/>
      <c r="J7" s="1"/>
      <c r="K7" s="1"/>
      <c r="L7" s="1"/>
      <c r="M7" s="1"/>
      <c r="N7" s="1"/>
      <c r="O7" s="1"/>
      <c r="P7">
        <f t="shared" ref="P7:P8" si="0">SUM(C7:N7)</f>
        <v>0</v>
      </c>
      <c r="Q7" s="50" t="str">
        <f>IF(ABS(P7-O7)&lt;5," ","Sum not correct")</f>
        <v xml:space="preserve"> </v>
      </c>
      <c r="S7" t="e">
        <v>#N/A</v>
      </c>
      <c r="T7" t="e">
        <f>VLOOKUP(B7,'Calcs and References'!A$2:D$6,4)*O7</f>
        <v>#N/A</v>
      </c>
      <c r="U7" t="e">
        <f>T7*1000/'Basic Info'!$D$22</f>
        <v>#N/A</v>
      </c>
      <c r="V7" t="e">
        <f>U7*VLOOKUP(B7,'Calcs and References'!A$2:D$6,3)</f>
        <v>#N/A</v>
      </c>
      <c r="W7" t="e">
        <f>VLOOKUP(B7,'Calcs and References'!A$2:E$6,2)*O7</f>
        <v>#N/A</v>
      </c>
    </row>
    <row r="8" spans="1:23" x14ac:dyDescent="0.25">
      <c r="A8" s="1"/>
      <c r="B8" s="1"/>
      <c r="C8" s="1"/>
      <c r="D8" s="1"/>
      <c r="E8" s="1"/>
      <c r="F8" s="1"/>
      <c r="G8" s="1"/>
      <c r="H8" s="1"/>
      <c r="I8" s="1"/>
      <c r="J8" s="1"/>
      <c r="K8" s="1"/>
      <c r="L8" s="1"/>
      <c r="M8" s="1"/>
      <c r="N8" s="1"/>
      <c r="O8" s="1"/>
      <c r="P8">
        <f t="shared" si="0"/>
        <v>0</v>
      </c>
      <c r="Q8" s="50" t="str">
        <f>IF(ABS(P8-O8)&lt;5," ","Sum not correct")</f>
        <v xml:space="preserve"> </v>
      </c>
      <c r="S8" t="e">
        <v>#N/A</v>
      </c>
      <c r="T8" t="e">
        <f>VLOOKUP(B8,'Calcs and References'!A$2:D$6,4)*O8</f>
        <v>#N/A</v>
      </c>
      <c r="U8" t="e">
        <f>T8*1000/'Basic Info'!$D$22</f>
        <v>#N/A</v>
      </c>
      <c r="V8" t="e">
        <f>U8*VLOOKUP(B8,'Calcs and References'!A$2:D$6,3)</f>
        <v>#N/A</v>
      </c>
      <c r="W8" t="e">
        <f>VLOOKUP(B8,'Calcs and References'!A$2:E$6,2)*O8</f>
        <v>#N/A</v>
      </c>
    </row>
    <row r="9" spans="1:23" x14ac:dyDescent="0.25">
      <c r="V9" t="e">
        <f>SUMIF(V5:V8,"&lt;&gt;#N/A")</f>
        <v>#DIV/0!</v>
      </c>
      <c r="W9">
        <f>SUMIF(W5:W8,"&lt;&gt;#N/A")</f>
        <v>0</v>
      </c>
    </row>
    <row r="10" spans="1:23" x14ac:dyDescent="0.25">
      <c r="T10" t="s">
        <v>69</v>
      </c>
      <c r="U10" t="s">
        <v>70</v>
      </c>
    </row>
    <row r="11" spans="1:23" x14ac:dyDescent="0.25">
      <c r="A11" t="s">
        <v>25</v>
      </c>
      <c r="T11">
        <f>SUMIF(_xlfn.ANCHORARRAY(S5),S2,O5:O8)</f>
        <v>0</v>
      </c>
      <c r="U11" s="27">
        <f>SUMIF(_xlfn.ANCHORARRAY(S5),S2,T5:T8)</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SUMIF(_xlfn.ANCHORARRAY(S5),T2,T5:T8)</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SUMIF(_xlfn.ANCHORARRAY(S5),U2,T5:T8)</f>
        <v>0</v>
      </c>
    </row>
    <row r="16" spans="1:23" x14ac:dyDescent="0.25">
      <c r="A16" s="1"/>
      <c r="B16" s="1"/>
      <c r="C16" s="1"/>
      <c r="D16" s="1"/>
      <c r="E16" s="1"/>
      <c r="F16" s="1"/>
      <c r="G16" s="1"/>
      <c r="H16" s="1"/>
    </row>
    <row r="17" spans="1:8" ht="30" x14ac:dyDescent="0.25">
      <c r="F17" s="3" t="s">
        <v>32</v>
      </c>
      <c r="G17" s="4" t="s">
        <v>23</v>
      </c>
      <c r="H17" s="4"/>
    </row>
    <row r="18" spans="1:8" x14ac:dyDescent="0.25">
      <c r="F18" s="1"/>
      <c r="G18" s="167" t="str">
        <f>IF(ABS(F13+F14+F15+F16-F18)&lt;5," ","Sum not correct")</f>
        <v xml:space="preserve"> </v>
      </c>
      <c r="H18" s="168"/>
    </row>
    <row r="20" spans="1:8" x14ac:dyDescent="0.25">
      <c r="A20" s="2" t="s">
        <v>37</v>
      </c>
    </row>
    <row r="21" spans="1:8" x14ac:dyDescent="0.25">
      <c r="A21" s="169"/>
      <c r="B21" s="169"/>
      <c r="C21" s="169"/>
      <c r="D21" s="169"/>
    </row>
  </sheetData>
  <mergeCells count="2">
    <mergeCell ref="A21:D2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CF7C70B-E843-4C86-9A79-DFD74B39FDCA}">
          <x14:formula1>
            <xm:f>'Calcs and References'!$A$2:$A$9</xm:f>
          </x14:formula1>
          <xm:sqref>B13:B16 B5:B8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9713A-5FC6-484D-849D-DE791A45B3B8}">
  <dimension ref="A1:W21"/>
  <sheetViews>
    <sheetView workbookViewId="0">
      <selection activeCell="P1" sqref="P1:P1048576"/>
    </sheetView>
  </sheetViews>
  <sheetFormatPr defaultRowHeight="15" x14ac:dyDescent="0.25"/>
  <cols>
    <col min="1" max="1" width="29.85546875" customWidth="1"/>
    <col min="2" max="2" width="18.7109375" customWidth="1"/>
    <col min="4" max="4" width="14.7109375" customWidth="1"/>
    <col min="16" max="16" width="9.140625" hidden="1" customWidth="1"/>
    <col min="17" max="17" width="18.85546875" customWidth="1"/>
    <col min="19" max="19" width="9.140625" customWidth="1"/>
    <col min="20" max="20" width="13.42578125" customWidth="1"/>
    <col min="21" max="21" width="14.7109375" customWidth="1"/>
    <col min="22" max="22" width="11.28515625" customWidth="1"/>
    <col min="23" max="23" width="9.140625" customWidth="1"/>
  </cols>
  <sheetData>
    <row r="1" spans="1:23" x14ac:dyDescent="0.25">
      <c r="A1" t="s">
        <v>84</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cm="1">
        <f t="array" ref="S5:S8">VLOOKUP(B5:B8,'Calcs and References'!A2:E6,5)</f>
        <v>ELEC</v>
      </c>
      <c r="T5">
        <f>VLOOKUP(B5,'Calcs and References'!A$2:D$6,4)*O5</f>
        <v>0</v>
      </c>
      <c r="U5" t="e">
        <f>T5*1000/'Basic Info'!$D$22</f>
        <v>#DIV/0!</v>
      </c>
      <c r="V5" t="e">
        <f>U5*VLOOKUP(B5,'Calcs and References'!A$2:D$6,3)</f>
        <v>#DIV/0!</v>
      </c>
      <c r="W5">
        <f>VLOOKUP(B5,'Calcs and References'!A$2:E$6,2)*O5</f>
        <v>0</v>
      </c>
    </row>
    <row r="6" spans="1:23" x14ac:dyDescent="0.25">
      <c r="A6" s="1"/>
      <c r="B6" s="1" t="s">
        <v>22</v>
      </c>
      <c r="C6" s="1"/>
      <c r="D6" s="1"/>
      <c r="E6" s="1"/>
      <c r="F6" s="1"/>
      <c r="G6" s="1"/>
      <c r="H6" s="1"/>
      <c r="I6" s="1"/>
      <c r="J6" s="1"/>
      <c r="K6" s="1"/>
      <c r="L6" s="1"/>
      <c r="M6" s="1"/>
      <c r="N6" s="1"/>
      <c r="O6" s="1"/>
      <c r="P6">
        <f t="shared" ref="P6:P8" si="0">SUM(C6:N6)</f>
        <v>0</v>
      </c>
      <c r="Q6" s="50" t="str">
        <f>IF(ABS(P6-O6)&lt;5," ","Sum not correct")</f>
        <v xml:space="preserve"> </v>
      </c>
      <c r="S6" t="str">
        <v>FF</v>
      </c>
      <c r="T6">
        <f>VLOOKUP(B6,'Calcs and References'!A$2:D$6,4)*O6</f>
        <v>0</v>
      </c>
      <c r="U6" t="e">
        <f>T6*1000/'Basic Info'!$D$22</f>
        <v>#DIV/0!</v>
      </c>
      <c r="V6" t="e">
        <f>U6*VLOOKUP(B6,'Calcs and References'!A$2:D$6,3)</f>
        <v>#DIV/0!</v>
      </c>
      <c r="W6">
        <f>VLOOKUP(B6,'Calcs and References'!A$2:E$6,2)*O6</f>
        <v>0</v>
      </c>
    </row>
    <row r="7" spans="1:23" x14ac:dyDescent="0.25">
      <c r="A7" s="1"/>
      <c r="B7" s="1"/>
      <c r="C7" s="1"/>
      <c r="D7" s="1"/>
      <c r="E7" s="1"/>
      <c r="F7" s="1"/>
      <c r="G7" s="1"/>
      <c r="H7" s="1"/>
      <c r="I7" s="1"/>
      <c r="J7" s="1"/>
      <c r="K7" s="1"/>
      <c r="L7" s="1"/>
      <c r="M7" s="1"/>
      <c r="N7" s="1"/>
      <c r="O7" s="1"/>
      <c r="P7">
        <f t="shared" si="0"/>
        <v>0</v>
      </c>
      <c r="Q7" s="50" t="str">
        <f>IF(ABS(P7-O7)&lt;5," ","Sum not correct")</f>
        <v xml:space="preserve"> </v>
      </c>
      <c r="S7" t="e">
        <v>#N/A</v>
      </c>
      <c r="T7" t="e">
        <f>VLOOKUP(B7,'Calcs and References'!A$2:D$6,4)*O7</f>
        <v>#N/A</v>
      </c>
      <c r="U7" t="e">
        <f>T7*1000/'Basic Info'!$D$22</f>
        <v>#N/A</v>
      </c>
      <c r="V7" t="e">
        <f>U7*VLOOKUP(B7,'Calcs and References'!A$2:D$6,3)</f>
        <v>#N/A</v>
      </c>
      <c r="W7" t="e">
        <f>VLOOKUP(B7,'Calcs and References'!A$2:E$6,2)*O7</f>
        <v>#N/A</v>
      </c>
    </row>
    <row r="8" spans="1:23" x14ac:dyDescent="0.25">
      <c r="A8" s="1"/>
      <c r="B8" s="1"/>
      <c r="C8" s="1"/>
      <c r="D8" s="1"/>
      <c r="E8" s="1"/>
      <c r="F8" s="1"/>
      <c r="G8" s="1"/>
      <c r="H8" s="1"/>
      <c r="I8" s="1"/>
      <c r="J8" s="1"/>
      <c r="K8" s="1"/>
      <c r="L8" s="1"/>
      <c r="M8" s="1"/>
      <c r="N8" s="1"/>
      <c r="O8" s="1"/>
      <c r="P8">
        <f t="shared" si="0"/>
        <v>0</v>
      </c>
      <c r="Q8" s="50" t="str">
        <f>IF(ABS(P8-O8)&lt;5," ","Sum not correct")</f>
        <v xml:space="preserve"> </v>
      </c>
      <c r="S8" t="e">
        <v>#N/A</v>
      </c>
      <c r="T8" t="e">
        <f>VLOOKUP(B8,'Calcs and References'!A$2:D$6,4)*O8</f>
        <v>#N/A</v>
      </c>
      <c r="U8" t="e">
        <f>T8*1000/'Basic Info'!$D$22</f>
        <v>#N/A</v>
      </c>
      <c r="V8" t="e">
        <f>U8*VLOOKUP(B8,'Calcs and References'!A$2:D$6,3)</f>
        <v>#N/A</v>
      </c>
      <c r="W8" t="e">
        <f>VLOOKUP(B8,'Calcs and References'!A$2:E$6,2)*O8</f>
        <v>#N/A</v>
      </c>
    </row>
    <row r="9" spans="1:23" x14ac:dyDescent="0.25">
      <c r="V9" t="e">
        <f>SUMIF(V5:V8,"&lt;&gt;#N/A")</f>
        <v>#DIV/0!</v>
      </c>
      <c r="W9">
        <f>SUMIF(W5:W8,"&lt;&gt;#N/A")</f>
        <v>0</v>
      </c>
    </row>
    <row r="10" spans="1:23" x14ac:dyDescent="0.25">
      <c r="T10" t="s">
        <v>69</v>
      </c>
      <c r="U10" t="s">
        <v>70</v>
      </c>
    </row>
    <row r="11" spans="1:23" x14ac:dyDescent="0.25">
      <c r="A11" t="s">
        <v>25</v>
      </c>
      <c r="T11">
        <f>SUMIF(_xlfn.ANCHORARRAY(S5),S2,O5:O8)</f>
        <v>0</v>
      </c>
      <c r="U11" s="27">
        <f>SUMIF(_xlfn.ANCHORARRAY(S5),S2,T5:T8)</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SUMIF(_xlfn.ANCHORARRAY(S5),T2,T5:T8)</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SUMIF(_xlfn.ANCHORARRAY(S5),U2,T5:T8)</f>
        <v>0</v>
      </c>
    </row>
    <row r="16" spans="1:23" x14ac:dyDescent="0.25">
      <c r="A16" s="1"/>
      <c r="B16" s="1"/>
      <c r="C16" s="1"/>
      <c r="D16" s="1"/>
      <c r="E16" s="1"/>
      <c r="F16" s="1"/>
      <c r="G16" s="1"/>
      <c r="H16" s="1"/>
    </row>
    <row r="17" spans="1:8" ht="30" x14ac:dyDescent="0.25">
      <c r="F17" s="3" t="s">
        <v>32</v>
      </c>
      <c r="G17" s="4" t="s">
        <v>23</v>
      </c>
      <c r="H17" s="4"/>
    </row>
    <row r="18" spans="1:8" x14ac:dyDescent="0.25">
      <c r="F18" s="1"/>
      <c r="G18" s="167" t="str">
        <f>IF(ABS(F13+F14+F15+F16-F18)&lt;5," ","Sum not correct")</f>
        <v xml:space="preserve"> </v>
      </c>
      <c r="H18" s="168"/>
    </row>
    <row r="20" spans="1:8" x14ac:dyDescent="0.25">
      <c r="A20" s="2" t="s">
        <v>37</v>
      </c>
    </row>
    <row r="21" spans="1:8" x14ac:dyDescent="0.25">
      <c r="A21" s="169"/>
      <c r="B21" s="169"/>
      <c r="C21" s="169"/>
      <c r="D21" s="169"/>
    </row>
  </sheetData>
  <mergeCells count="2">
    <mergeCell ref="A21:D2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ABFC144-53E6-4C53-9F41-851810A0DFA6}">
          <x14:formula1>
            <xm:f>'Calcs and References'!$A$2:$A$9</xm:f>
          </x14:formula1>
          <xm:sqref>B13:B16 B5:B8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064AD-80B6-459A-82BA-7BFDF1C79FED}">
  <dimension ref="A1:W21"/>
  <sheetViews>
    <sheetView workbookViewId="0">
      <selection activeCell="P1" sqref="P1:P1048576"/>
    </sheetView>
  </sheetViews>
  <sheetFormatPr defaultRowHeight="15" x14ac:dyDescent="0.25"/>
  <cols>
    <col min="1" max="1" width="29.85546875" customWidth="1"/>
    <col min="2" max="2" width="18.7109375" customWidth="1"/>
    <col min="4" max="4" width="14.7109375" customWidth="1"/>
    <col min="16" max="16" width="2" hidden="1" customWidth="1"/>
    <col min="17" max="17" width="18.85546875" customWidth="1"/>
    <col min="19" max="19" width="9.140625" customWidth="1"/>
    <col min="20" max="20" width="13.42578125" customWidth="1"/>
    <col min="21" max="21" width="14.7109375" customWidth="1"/>
    <col min="22" max="22" width="11.28515625" customWidth="1"/>
    <col min="23" max="23" width="9.140625" customWidth="1"/>
  </cols>
  <sheetData>
    <row r="1" spans="1:23" x14ac:dyDescent="0.25">
      <c r="A1" t="s">
        <v>85</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cm="1">
        <f t="array" ref="S5:S8">VLOOKUP(B5:B8,'Calcs and References'!A2:E6,5)</f>
        <v>ELEC</v>
      </c>
      <c r="T5">
        <f>VLOOKUP(B5,'Calcs and References'!A$2:D$6,4)*O5</f>
        <v>0</v>
      </c>
      <c r="U5" t="e">
        <f>T5*1000/'Basic Info'!$D$22</f>
        <v>#DIV/0!</v>
      </c>
      <c r="V5" t="e">
        <f>U5*VLOOKUP(B5,'Calcs and References'!A$2:D$6,3)</f>
        <v>#DIV/0!</v>
      </c>
      <c r="W5">
        <f>VLOOKUP(B5,'Calcs and References'!A$2:E$6,2)*O5</f>
        <v>0</v>
      </c>
    </row>
    <row r="6" spans="1:23" x14ac:dyDescent="0.25">
      <c r="A6" s="1"/>
      <c r="B6" s="1" t="s">
        <v>22</v>
      </c>
      <c r="C6" s="1"/>
      <c r="D6" s="1"/>
      <c r="E6" s="1"/>
      <c r="F6" s="1"/>
      <c r="G6" s="1"/>
      <c r="H6" s="1"/>
      <c r="I6" s="1"/>
      <c r="J6" s="1"/>
      <c r="K6" s="1"/>
      <c r="L6" s="1"/>
      <c r="M6" s="1"/>
      <c r="N6" s="1"/>
      <c r="O6" s="1"/>
      <c r="P6">
        <f>SUM(C6:N6)</f>
        <v>0</v>
      </c>
      <c r="Q6" s="50" t="str">
        <f>IF(ABS(P6-O6)&lt;5," ","Sum not correct")</f>
        <v xml:space="preserve"> </v>
      </c>
      <c r="S6" t="str">
        <v>FF</v>
      </c>
      <c r="T6">
        <f>VLOOKUP(B6,'Calcs and References'!A$2:D$6,4)*O6</f>
        <v>0</v>
      </c>
      <c r="U6" t="e">
        <f>T6*1000/'Basic Info'!$D$22</f>
        <v>#DIV/0!</v>
      </c>
      <c r="V6" t="e">
        <f>U6*VLOOKUP(B6,'Calcs and References'!A$2:D$6,3)</f>
        <v>#DIV/0!</v>
      </c>
      <c r="W6">
        <f>VLOOKUP(B6,'Calcs and References'!A$2:E$6,2)*O6</f>
        <v>0</v>
      </c>
    </row>
    <row r="7" spans="1:23" x14ac:dyDescent="0.25">
      <c r="A7" s="1"/>
      <c r="B7" s="1"/>
      <c r="C7" s="1"/>
      <c r="D7" s="1"/>
      <c r="E7" s="1"/>
      <c r="F7" s="1"/>
      <c r="G7" s="1"/>
      <c r="H7" s="1"/>
      <c r="I7" s="1"/>
      <c r="J7" s="1"/>
      <c r="K7" s="1"/>
      <c r="L7" s="1"/>
      <c r="M7" s="1"/>
      <c r="N7" s="1"/>
      <c r="O7" s="1"/>
      <c r="P7">
        <f t="shared" ref="P7:P8" si="0">SUM(C7:N7)</f>
        <v>0</v>
      </c>
      <c r="Q7" s="50" t="str">
        <f>IF(ABS(P7-O7)&lt;5," ","Sum not correct")</f>
        <v xml:space="preserve"> </v>
      </c>
      <c r="S7" t="e">
        <v>#N/A</v>
      </c>
      <c r="T7" t="e">
        <f>VLOOKUP(B7,'Calcs and References'!A$2:D$6,4)*O7</f>
        <v>#N/A</v>
      </c>
      <c r="U7" t="e">
        <f>T7*1000/'Basic Info'!$D$22</f>
        <v>#N/A</v>
      </c>
      <c r="V7" t="e">
        <f>U7*VLOOKUP(B7,'Calcs and References'!A$2:D$6,3)</f>
        <v>#N/A</v>
      </c>
      <c r="W7" t="e">
        <f>VLOOKUP(B7,'Calcs and References'!A$2:E$6,2)*O7</f>
        <v>#N/A</v>
      </c>
    </row>
    <row r="8" spans="1:23" x14ac:dyDescent="0.25">
      <c r="A8" s="1"/>
      <c r="B8" s="1"/>
      <c r="C8" s="1"/>
      <c r="D8" s="1"/>
      <c r="E8" s="1"/>
      <c r="F8" s="1"/>
      <c r="G8" s="1"/>
      <c r="H8" s="1"/>
      <c r="I8" s="1"/>
      <c r="J8" s="1"/>
      <c r="K8" s="1"/>
      <c r="L8" s="1"/>
      <c r="M8" s="1"/>
      <c r="N8" s="1"/>
      <c r="O8" s="1"/>
      <c r="P8">
        <f t="shared" si="0"/>
        <v>0</v>
      </c>
      <c r="Q8" s="50" t="str">
        <f>IF(ABS(P8-O8)&lt;5," ","Sum not correct")</f>
        <v xml:space="preserve"> </v>
      </c>
      <c r="S8" t="e">
        <v>#N/A</v>
      </c>
      <c r="T8" t="e">
        <f>VLOOKUP(B8,'Calcs and References'!A$2:D$6,4)*O8</f>
        <v>#N/A</v>
      </c>
      <c r="U8" t="e">
        <f>T8*1000/'Basic Info'!$D$22</f>
        <v>#N/A</v>
      </c>
      <c r="V8" t="e">
        <f>U8*VLOOKUP(B8,'Calcs and References'!A$2:D$6,3)</f>
        <v>#N/A</v>
      </c>
      <c r="W8" t="e">
        <f>VLOOKUP(B8,'Calcs and References'!A$2:E$6,2)*O8</f>
        <v>#N/A</v>
      </c>
    </row>
    <row r="9" spans="1:23" x14ac:dyDescent="0.25">
      <c r="V9" t="e">
        <f>SUMIF(V5:V8,"&lt;&gt;#N/A")</f>
        <v>#DIV/0!</v>
      </c>
      <c r="W9">
        <f>SUMIF(W5:W8,"&lt;&gt;#N/A")</f>
        <v>0</v>
      </c>
    </row>
    <row r="10" spans="1:23" x14ac:dyDescent="0.25">
      <c r="T10" t="s">
        <v>69</v>
      </c>
      <c r="U10" t="s">
        <v>70</v>
      </c>
    </row>
    <row r="11" spans="1:23" x14ac:dyDescent="0.25">
      <c r="A11" t="s">
        <v>25</v>
      </c>
      <c r="T11">
        <f>SUMIF(_xlfn.ANCHORARRAY(S5),S2,O5:O8)</f>
        <v>0</v>
      </c>
      <c r="U11" s="27">
        <f>SUMIF(_xlfn.ANCHORARRAY(S5),S2,T5:T8)</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SUMIF(_xlfn.ANCHORARRAY(S5),T2,T5:T8)</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SUMIF(_xlfn.ANCHORARRAY(S5),U2,T5:T8)</f>
        <v>0</v>
      </c>
    </row>
    <row r="16" spans="1:23" x14ac:dyDescent="0.25">
      <c r="A16" s="1"/>
      <c r="B16" s="1"/>
      <c r="C16" s="1"/>
      <c r="D16" s="1"/>
      <c r="E16" s="1"/>
      <c r="F16" s="1"/>
      <c r="G16" s="1"/>
      <c r="H16" s="1"/>
    </row>
    <row r="17" spans="1:8" ht="30" x14ac:dyDescent="0.25">
      <c r="F17" s="3" t="s">
        <v>32</v>
      </c>
      <c r="G17" s="4" t="s">
        <v>23</v>
      </c>
      <c r="H17" s="4"/>
    </row>
    <row r="18" spans="1:8" x14ac:dyDescent="0.25">
      <c r="F18" s="1"/>
      <c r="G18" s="167" t="str">
        <f>IF(ABS(F13+F14+F15+F16-F18)&lt;5," ","Sum not correct")</f>
        <v xml:space="preserve"> </v>
      </c>
      <c r="H18" s="168"/>
    </row>
    <row r="20" spans="1:8" x14ac:dyDescent="0.25">
      <c r="A20" s="2" t="s">
        <v>37</v>
      </c>
    </row>
    <row r="21" spans="1:8" x14ac:dyDescent="0.25">
      <c r="A21" s="169"/>
      <c r="B21" s="169"/>
      <c r="C21" s="169"/>
      <c r="D21" s="169"/>
    </row>
  </sheetData>
  <mergeCells count="2">
    <mergeCell ref="A21:D2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DD140E8-3828-44E3-8C53-96671BC67CCA}">
          <x14:formula1>
            <xm:f>'Calcs and References'!$A$2:$A$9</xm:f>
          </x14:formula1>
          <xm:sqref>B13:B16 B5:B8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E737B-1450-48E4-A71E-56775E4EE04A}">
  <dimension ref="A1:W21"/>
  <sheetViews>
    <sheetView workbookViewId="0">
      <selection activeCell="P1" sqref="P1:P1048576"/>
    </sheetView>
  </sheetViews>
  <sheetFormatPr defaultRowHeight="15" x14ac:dyDescent="0.25"/>
  <cols>
    <col min="1" max="1" width="29.85546875" customWidth="1"/>
    <col min="2" max="2" width="18.7109375" customWidth="1"/>
    <col min="4" max="4" width="14.7109375" customWidth="1"/>
    <col min="16" max="16" width="2" hidden="1" customWidth="1"/>
    <col min="17" max="17" width="18.85546875" customWidth="1"/>
    <col min="19" max="19" width="9.140625" customWidth="1"/>
    <col min="20" max="20" width="13.42578125" customWidth="1"/>
    <col min="21" max="21" width="14.7109375" customWidth="1"/>
    <col min="22" max="22" width="11.28515625" customWidth="1"/>
    <col min="23" max="23" width="9.140625" customWidth="1"/>
  </cols>
  <sheetData>
    <row r="1" spans="1:23" x14ac:dyDescent="0.25">
      <c r="A1" t="s">
        <v>86</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cm="1">
        <f t="array" ref="S5:S8">VLOOKUP(B5:B8,'Calcs and References'!A2:E6,5)</f>
        <v>ELEC</v>
      </c>
      <c r="T5">
        <f>VLOOKUP(B5,'Calcs and References'!A$2:D$6,4)*O5</f>
        <v>0</v>
      </c>
      <c r="U5" t="e">
        <f>T5*1000/'Basic Info'!$D$22</f>
        <v>#DIV/0!</v>
      </c>
      <c r="V5" t="e">
        <f>U5*VLOOKUP(B5,'Calcs and References'!A$2:D$6,3)</f>
        <v>#DIV/0!</v>
      </c>
      <c r="W5">
        <f>VLOOKUP(B5,'Calcs and References'!A$2:E$6,2)*O5</f>
        <v>0</v>
      </c>
    </row>
    <row r="6" spans="1:23" x14ac:dyDescent="0.25">
      <c r="A6" s="1"/>
      <c r="B6" s="1" t="s">
        <v>22</v>
      </c>
      <c r="C6" s="1"/>
      <c r="D6" s="1"/>
      <c r="E6" s="1"/>
      <c r="F6" s="1"/>
      <c r="G6" s="1"/>
      <c r="H6" s="1"/>
      <c r="I6" s="1"/>
      <c r="J6" s="1"/>
      <c r="K6" s="1"/>
      <c r="L6" s="1"/>
      <c r="M6" s="1"/>
      <c r="N6" s="1"/>
      <c r="O6" s="1"/>
      <c r="P6">
        <f>SUM(C6:N6)</f>
        <v>0</v>
      </c>
      <c r="Q6" s="50" t="str">
        <f>IF(ABS(P6-O6)&lt;5," ","Sum not correct")</f>
        <v xml:space="preserve"> </v>
      </c>
      <c r="S6" t="str">
        <v>FF</v>
      </c>
      <c r="T6">
        <f>VLOOKUP(B6,'Calcs and References'!A$2:D$6,4)*O6</f>
        <v>0</v>
      </c>
      <c r="U6" t="e">
        <f>T6*1000/'Basic Info'!$D$22</f>
        <v>#DIV/0!</v>
      </c>
      <c r="V6" t="e">
        <f>U6*VLOOKUP(B6,'Calcs and References'!A$2:D$6,3)</f>
        <v>#DIV/0!</v>
      </c>
      <c r="W6">
        <f>VLOOKUP(B6,'Calcs and References'!A$2:E$6,2)*O6</f>
        <v>0</v>
      </c>
    </row>
    <row r="7" spans="1:23" x14ac:dyDescent="0.25">
      <c r="A7" s="1"/>
      <c r="B7" s="1"/>
      <c r="C7" s="1"/>
      <c r="D7" s="1"/>
      <c r="E7" s="1"/>
      <c r="F7" s="1"/>
      <c r="G7" s="1"/>
      <c r="H7" s="1"/>
      <c r="I7" s="1"/>
      <c r="J7" s="1"/>
      <c r="K7" s="1"/>
      <c r="L7" s="1"/>
      <c r="M7" s="1"/>
      <c r="N7" s="1"/>
      <c r="O7" s="1"/>
      <c r="P7">
        <f t="shared" ref="P7:P8" si="0">SUM(C7:N7)</f>
        <v>0</v>
      </c>
      <c r="Q7" s="50" t="str">
        <f>IF(ABS(P7-O7)&lt;5," ","Sum not correct")</f>
        <v xml:space="preserve"> </v>
      </c>
      <c r="S7" t="e">
        <v>#N/A</v>
      </c>
      <c r="T7" t="e">
        <f>VLOOKUP(B7,'Calcs and References'!A$2:D$6,4)*O7</f>
        <v>#N/A</v>
      </c>
      <c r="U7" t="e">
        <f>T7*1000/'Basic Info'!$D$22</f>
        <v>#N/A</v>
      </c>
      <c r="V7" t="e">
        <f>U7*VLOOKUP(B7,'Calcs and References'!A$2:D$6,3)</f>
        <v>#N/A</v>
      </c>
      <c r="W7" t="e">
        <f>VLOOKUP(B7,'Calcs and References'!A$2:E$6,2)*O7</f>
        <v>#N/A</v>
      </c>
    </row>
    <row r="8" spans="1:23" x14ac:dyDescent="0.25">
      <c r="A8" s="1"/>
      <c r="B8" s="1"/>
      <c r="C8" s="1"/>
      <c r="D8" s="1"/>
      <c r="E8" s="1"/>
      <c r="F8" s="1"/>
      <c r="G8" s="1"/>
      <c r="H8" s="1"/>
      <c r="I8" s="1"/>
      <c r="J8" s="1"/>
      <c r="K8" s="1"/>
      <c r="L8" s="1"/>
      <c r="M8" s="1"/>
      <c r="N8" s="1"/>
      <c r="O8" s="1"/>
      <c r="P8">
        <f t="shared" si="0"/>
        <v>0</v>
      </c>
      <c r="Q8" s="50" t="str">
        <f>IF(ABS(P8-O8)&lt;5," ","Sum not correct")</f>
        <v xml:space="preserve"> </v>
      </c>
      <c r="S8" t="e">
        <v>#N/A</v>
      </c>
      <c r="T8" t="e">
        <f>VLOOKUP(B8,'Calcs and References'!A$2:D$6,4)*O8</f>
        <v>#N/A</v>
      </c>
      <c r="U8" t="e">
        <f>T8*1000/'Basic Info'!$D$22</f>
        <v>#N/A</v>
      </c>
      <c r="V8" t="e">
        <f>U8*VLOOKUP(B8,'Calcs and References'!A$2:D$6,3)</f>
        <v>#N/A</v>
      </c>
      <c r="W8" t="e">
        <f>VLOOKUP(B8,'Calcs and References'!A$2:E$6,2)*O8</f>
        <v>#N/A</v>
      </c>
    </row>
    <row r="9" spans="1:23" x14ac:dyDescent="0.25">
      <c r="V9" t="e">
        <f>SUMIF(V5:V8,"&lt;&gt;#N/A")</f>
        <v>#DIV/0!</v>
      </c>
      <c r="W9">
        <f>SUMIF(W5:W8,"&lt;&gt;#N/A")</f>
        <v>0</v>
      </c>
    </row>
    <row r="10" spans="1:23" x14ac:dyDescent="0.25">
      <c r="T10" t="s">
        <v>69</v>
      </c>
      <c r="U10" t="s">
        <v>70</v>
      </c>
    </row>
    <row r="11" spans="1:23" x14ac:dyDescent="0.25">
      <c r="A11" t="s">
        <v>25</v>
      </c>
      <c r="T11">
        <f>SUMIF(_xlfn.ANCHORARRAY(S5),S2,O5:O8)</f>
        <v>0</v>
      </c>
      <c r="U11" s="27">
        <f>SUMIF(_xlfn.ANCHORARRAY(S5),S2,T5:T8)</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SUMIF(_xlfn.ANCHORARRAY(S5),T2,T5:T8)</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SUMIF(_xlfn.ANCHORARRAY(S5),U2,T5:T8)</f>
        <v>0</v>
      </c>
    </row>
    <row r="16" spans="1:23" x14ac:dyDescent="0.25">
      <c r="A16" s="1"/>
      <c r="B16" s="1"/>
      <c r="C16" s="1"/>
      <c r="D16" s="1"/>
      <c r="E16" s="1"/>
      <c r="F16" s="1"/>
      <c r="G16" s="1"/>
      <c r="H16" s="1"/>
    </row>
    <row r="17" spans="1:8" ht="30" x14ac:dyDescent="0.25">
      <c r="F17" s="3" t="s">
        <v>32</v>
      </c>
      <c r="G17" s="4" t="s">
        <v>23</v>
      </c>
      <c r="H17" s="4"/>
    </row>
    <row r="18" spans="1:8" x14ac:dyDescent="0.25">
      <c r="F18" s="1"/>
      <c r="G18" s="167" t="str">
        <f>IF(ABS(F13+F14+F15+F16-F18)&lt;5," ","Sum not correct")</f>
        <v xml:space="preserve"> </v>
      </c>
      <c r="H18" s="168"/>
    </row>
    <row r="20" spans="1:8" x14ac:dyDescent="0.25">
      <c r="A20" s="2" t="s">
        <v>37</v>
      </c>
    </row>
    <row r="21" spans="1:8" x14ac:dyDescent="0.25">
      <c r="A21" s="169"/>
      <c r="B21" s="169"/>
      <c r="C21" s="169"/>
      <c r="D21" s="169"/>
    </row>
  </sheetData>
  <mergeCells count="2">
    <mergeCell ref="A21:D2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87A1FC7-E24F-4028-8399-A229219374BE}">
          <x14:formula1>
            <xm:f>'Calcs and References'!$A$2:$A$9</xm:f>
          </x14:formula1>
          <xm:sqref>B13:B16 B5:B8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EA9A9-F219-48FB-9B45-C6EAB9511D9E}">
  <dimension ref="A1:W21"/>
  <sheetViews>
    <sheetView workbookViewId="0">
      <selection activeCell="P1" sqref="P1:P1048576"/>
    </sheetView>
  </sheetViews>
  <sheetFormatPr defaultRowHeight="15" x14ac:dyDescent="0.25"/>
  <cols>
    <col min="1" max="1" width="29.85546875" customWidth="1"/>
    <col min="2" max="2" width="18.7109375" customWidth="1"/>
    <col min="4" max="4" width="14.7109375" customWidth="1"/>
    <col min="16" max="16" width="9.140625" hidden="1" customWidth="1"/>
    <col min="17" max="17" width="18.85546875" customWidth="1"/>
    <col min="19" max="19" width="9.140625" customWidth="1"/>
    <col min="20" max="20" width="13.42578125" customWidth="1"/>
    <col min="21" max="21" width="14.7109375" customWidth="1"/>
    <col min="22" max="22" width="11.28515625" customWidth="1"/>
    <col min="23" max="23" width="9.140625" customWidth="1"/>
  </cols>
  <sheetData>
    <row r="1" spans="1:23" x14ac:dyDescent="0.25">
      <c r="A1" t="s">
        <v>87</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cm="1">
        <f t="array" ref="S5:S8">VLOOKUP(B5:B8,'Calcs and References'!A2:E6,5)</f>
        <v>ELEC</v>
      </c>
      <c r="T5">
        <f>VLOOKUP(B5,'Calcs and References'!A$2:D$6,4)*O5</f>
        <v>0</v>
      </c>
      <c r="U5" t="e">
        <f>T5*1000/'Basic Info'!$D$22</f>
        <v>#DIV/0!</v>
      </c>
      <c r="V5" t="e">
        <f>U5*VLOOKUP(B5,'Calcs and References'!A$2:D$6,3)</f>
        <v>#DIV/0!</v>
      </c>
      <c r="W5">
        <f>VLOOKUP(B5,'Calcs and References'!A$2:E$6,2)*O5</f>
        <v>0</v>
      </c>
    </row>
    <row r="6" spans="1:23" x14ac:dyDescent="0.25">
      <c r="A6" s="1"/>
      <c r="B6" s="1" t="s">
        <v>22</v>
      </c>
      <c r="C6" s="1"/>
      <c r="D6" s="1"/>
      <c r="E6" s="1"/>
      <c r="F6" s="1"/>
      <c r="G6" s="1"/>
      <c r="H6" s="1"/>
      <c r="I6" s="1"/>
      <c r="J6" s="1"/>
      <c r="K6" s="1"/>
      <c r="L6" s="1"/>
      <c r="M6" s="1"/>
      <c r="N6" s="1"/>
      <c r="O6" s="1"/>
      <c r="P6">
        <f>SUM(C6:N6)</f>
        <v>0</v>
      </c>
      <c r="Q6" s="50" t="str">
        <f>IF(ABS(P6-O6)&lt;5," ","Sum not correct")</f>
        <v xml:space="preserve"> </v>
      </c>
      <c r="S6" t="str">
        <v>FF</v>
      </c>
      <c r="T6">
        <f>VLOOKUP(B6,'Calcs and References'!A$2:D$6,4)*O6</f>
        <v>0</v>
      </c>
      <c r="U6" t="e">
        <f>T6*1000/'Basic Info'!$D$22</f>
        <v>#DIV/0!</v>
      </c>
      <c r="V6" t="e">
        <f>U6*VLOOKUP(B6,'Calcs and References'!A$2:D$6,3)</f>
        <v>#DIV/0!</v>
      </c>
      <c r="W6">
        <f>VLOOKUP(B6,'Calcs and References'!A$2:E$6,2)*O6</f>
        <v>0</v>
      </c>
    </row>
    <row r="7" spans="1:23" x14ac:dyDescent="0.25">
      <c r="A7" s="1"/>
      <c r="B7" s="1"/>
      <c r="C7" s="1"/>
      <c r="D7" s="1"/>
      <c r="E7" s="1"/>
      <c r="F7" s="1"/>
      <c r="G7" s="1"/>
      <c r="H7" s="1"/>
      <c r="I7" s="1"/>
      <c r="J7" s="1"/>
      <c r="K7" s="1"/>
      <c r="L7" s="1"/>
      <c r="M7" s="1"/>
      <c r="N7" s="1"/>
      <c r="O7" s="1"/>
      <c r="P7">
        <f t="shared" ref="P7:P8" si="0">SUM(C7:N7)</f>
        <v>0</v>
      </c>
      <c r="Q7" s="50" t="str">
        <f>IF(ABS(P7-O7)&lt;5," ","Sum not correct")</f>
        <v xml:space="preserve"> </v>
      </c>
      <c r="S7" t="e">
        <v>#N/A</v>
      </c>
      <c r="T7" t="e">
        <f>VLOOKUP(B7,'Calcs and References'!A$2:D$6,4)*O7</f>
        <v>#N/A</v>
      </c>
      <c r="U7" t="e">
        <f>T7*1000/'Basic Info'!$D$22</f>
        <v>#N/A</v>
      </c>
      <c r="V7" t="e">
        <f>U7*VLOOKUP(B7,'Calcs and References'!A$2:D$6,3)</f>
        <v>#N/A</v>
      </c>
      <c r="W7" t="e">
        <f>VLOOKUP(B7,'Calcs and References'!A$2:E$6,2)*O7</f>
        <v>#N/A</v>
      </c>
    </row>
    <row r="8" spans="1:23" x14ac:dyDescent="0.25">
      <c r="A8" s="1"/>
      <c r="B8" s="1"/>
      <c r="C8" s="1"/>
      <c r="D8" s="1"/>
      <c r="E8" s="1"/>
      <c r="F8" s="1"/>
      <c r="G8" s="1"/>
      <c r="H8" s="1"/>
      <c r="I8" s="1"/>
      <c r="J8" s="1"/>
      <c r="K8" s="1"/>
      <c r="L8" s="1"/>
      <c r="M8" s="1"/>
      <c r="N8" s="1"/>
      <c r="O8" s="1"/>
      <c r="P8">
        <f t="shared" si="0"/>
        <v>0</v>
      </c>
      <c r="Q8" s="50" t="str">
        <f>IF(ABS(P8-O8)&lt;5," ","Sum not correct")</f>
        <v xml:space="preserve"> </v>
      </c>
      <c r="S8" t="e">
        <v>#N/A</v>
      </c>
      <c r="T8" t="e">
        <f>VLOOKUP(B8,'Calcs and References'!A$2:D$6,4)*O8</f>
        <v>#N/A</v>
      </c>
      <c r="U8" t="e">
        <f>T8*1000/'Basic Info'!$D$22</f>
        <v>#N/A</v>
      </c>
      <c r="V8" t="e">
        <f>U8*VLOOKUP(B8,'Calcs and References'!A$2:D$6,3)</f>
        <v>#N/A</v>
      </c>
      <c r="W8" t="e">
        <f>VLOOKUP(B8,'Calcs and References'!A$2:E$6,2)*O8</f>
        <v>#N/A</v>
      </c>
    </row>
    <row r="9" spans="1:23" x14ac:dyDescent="0.25">
      <c r="V9" t="e">
        <f>SUMIF(V5:V8,"&lt;&gt;#N/A")</f>
        <v>#DIV/0!</v>
      </c>
      <c r="W9">
        <f>SUMIF(W5:W8,"&lt;&gt;#N/A")</f>
        <v>0</v>
      </c>
    </row>
    <row r="10" spans="1:23" x14ac:dyDescent="0.25">
      <c r="T10" t="s">
        <v>69</v>
      </c>
      <c r="U10" t="s">
        <v>70</v>
      </c>
    </row>
    <row r="11" spans="1:23" x14ac:dyDescent="0.25">
      <c r="A11" t="s">
        <v>25</v>
      </c>
      <c r="T11">
        <f>SUMIF(_xlfn.ANCHORARRAY(S5),S2,O5:O8)</f>
        <v>0</v>
      </c>
      <c r="U11" s="27">
        <f>SUMIF(_xlfn.ANCHORARRAY(S5),S2,T5:T8)</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SUMIF(_xlfn.ANCHORARRAY(S5),T2,T5:T8)</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SUMIF(_xlfn.ANCHORARRAY(S5),U2,T5:T8)</f>
        <v>0</v>
      </c>
    </row>
    <row r="16" spans="1:23" x14ac:dyDescent="0.25">
      <c r="A16" s="1"/>
      <c r="B16" s="1"/>
      <c r="C16" s="1"/>
      <c r="D16" s="1"/>
      <c r="E16" s="1"/>
      <c r="F16" s="1"/>
      <c r="G16" s="1"/>
      <c r="H16" s="1"/>
    </row>
    <row r="17" spans="1:8" ht="30" x14ac:dyDescent="0.25">
      <c r="F17" s="3" t="s">
        <v>32</v>
      </c>
      <c r="G17" s="4" t="s">
        <v>23</v>
      </c>
      <c r="H17" s="4"/>
    </row>
    <row r="18" spans="1:8" x14ac:dyDescent="0.25">
      <c r="F18" s="1"/>
      <c r="G18" s="167" t="str">
        <f>IF(ABS(F13+F14+F15+F16-F18)&lt;5," ","Sum not correct")</f>
        <v xml:space="preserve"> </v>
      </c>
      <c r="H18" s="168"/>
    </row>
    <row r="20" spans="1:8" x14ac:dyDescent="0.25">
      <c r="A20" s="2" t="s">
        <v>37</v>
      </c>
    </row>
    <row r="21" spans="1:8" x14ac:dyDescent="0.25">
      <c r="A21" s="169"/>
      <c r="B21" s="169"/>
      <c r="C21" s="169"/>
      <c r="D21" s="169"/>
    </row>
  </sheetData>
  <mergeCells count="2">
    <mergeCell ref="A21:D2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23D4E0C-B991-4F31-B40E-3A5BB34EFB08}">
          <x14:formula1>
            <xm:f>'Calcs and References'!$A$2:$A$9</xm:f>
          </x14:formula1>
          <xm:sqref>B13:B16 B5:B8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786D6-0D5E-4E41-8A1C-1E22BCE1C0C3}">
  <dimension ref="A1:W21"/>
  <sheetViews>
    <sheetView workbookViewId="0">
      <selection activeCell="Q12" sqref="Q12"/>
    </sheetView>
  </sheetViews>
  <sheetFormatPr defaultRowHeight="15" x14ac:dyDescent="0.25"/>
  <cols>
    <col min="1" max="1" width="29.85546875" customWidth="1"/>
    <col min="2" max="2" width="18.7109375" customWidth="1"/>
    <col min="4" max="4" width="14.7109375" customWidth="1"/>
    <col min="16" max="16" width="2" hidden="1" customWidth="1"/>
    <col min="17" max="17" width="18.85546875" customWidth="1"/>
    <col min="19" max="19" width="9.140625" customWidth="1"/>
    <col min="20" max="20" width="13.42578125" customWidth="1"/>
    <col min="21" max="21" width="14.7109375" customWidth="1"/>
    <col min="22" max="22" width="11.28515625" customWidth="1"/>
    <col min="23" max="23" width="9.140625" customWidth="1"/>
  </cols>
  <sheetData>
    <row r="1" spans="1:23" x14ac:dyDescent="0.25">
      <c r="A1" t="s">
        <v>88</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cm="1">
        <f t="array" ref="S5:S8">VLOOKUP(B5:B8,'Calcs and References'!A2:E6,5)</f>
        <v>ELEC</v>
      </c>
      <c r="T5">
        <f>VLOOKUP(B5,'Calcs and References'!A$2:D$6,4)*O5</f>
        <v>0</v>
      </c>
      <c r="U5" t="e">
        <f>T5*1000/'Basic Info'!$D$22</f>
        <v>#DIV/0!</v>
      </c>
      <c r="V5" t="e">
        <f>U5*VLOOKUP(B5,'Calcs and References'!A$2:D$6,3)</f>
        <v>#DIV/0!</v>
      </c>
      <c r="W5">
        <f>VLOOKUP(B5,'Calcs and References'!A$2:E$6,2)*O5</f>
        <v>0</v>
      </c>
    </row>
    <row r="6" spans="1:23" x14ac:dyDescent="0.25">
      <c r="A6" s="1"/>
      <c r="B6" s="1" t="s">
        <v>22</v>
      </c>
      <c r="C6" s="1"/>
      <c r="D6" s="1"/>
      <c r="E6" s="1"/>
      <c r="F6" s="1"/>
      <c r="G6" s="1"/>
      <c r="H6" s="1"/>
      <c r="I6" s="1"/>
      <c r="J6" s="1"/>
      <c r="K6" s="1"/>
      <c r="L6" s="1"/>
      <c r="M6" s="1"/>
      <c r="N6" s="1"/>
      <c r="O6" s="1"/>
      <c r="P6">
        <f>SUM(C6:N6)</f>
        <v>0</v>
      </c>
      <c r="Q6" s="50" t="str">
        <f>IF(ABS(P6-O6)&lt;5," ","Sum not correct")</f>
        <v xml:space="preserve"> </v>
      </c>
      <c r="S6" t="str">
        <v>FF</v>
      </c>
      <c r="T6">
        <f>VLOOKUP(B6,'Calcs and References'!A$2:D$6,4)*O6</f>
        <v>0</v>
      </c>
      <c r="U6" t="e">
        <f>T6*1000/'Basic Info'!$D$22</f>
        <v>#DIV/0!</v>
      </c>
      <c r="V6" t="e">
        <f>U6*VLOOKUP(B6,'Calcs and References'!A$2:D$6,3)</f>
        <v>#DIV/0!</v>
      </c>
      <c r="W6">
        <f>VLOOKUP(B6,'Calcs and References'!A$2:E$6,2)*O6</f>
        <v>0</v>
      </c>
    </row>
    <row r="7" spans="1:23" x14ac:dyDescent="0.25">
      <c r="A7" s="1"/>
      <c r="B7" s="1"/>
      <c r="C7" s="1"/>
      <c r="D7" s="1"/>
      <c r="E7" s="1"/>
      <c r="F7" s="1"/>
      <c r="G7" s="1"/>
      <c r="H7" s="1"/>
      <c r="I7" s="1"/>
      <c r="J7" s="1"/>
      <c r="K7" s="1"/>
      <c r="L7" s="1"/>
      <c r="M7" s="1"/>
      <c r="N7" s="1"/>
      <c r="O7" s="1"/>
      <c r="P7">
        <f t="shared" ref="P7:P8" si="0">SUM(C7:N7)</f>
        <v>0</v>
      </c>
      <c r="Q7" s="50" t="str">
        <f>IF(ABS(P7-O7)&lt;5," ","Sum not correct")</f>
        <v xml:space="preserve"> </v>
      </c>
      <c r="S7" t="e">
        <v>#N/A</v>
      </c>
      <c r="T7" t="e">
        <f>VLOOKUP(B7,'Calcs and References'!A$2:D$6,4)*O7</f>
        <v>#N/A</v>
      </c>
      <c r="U7" t="e">
        <f>T7*1000/'Basic Info'!$D$22</f>
        <v>#N/A</v>
      </c>
      <c r="V7" t="e">
        <f>U7*VLOOKUP(B7,'Calcs and References'!A$2:D$6,3)</f>
        <v>#N/A</v>
      </c>
      <c r="W7" t="e">
        <f>VLOOKUP(B7,'Calcs and References'!A$2:E$6,2)*O7</f>
        <v>#N/A</v>
      </c>
    </row>
    <row r="8" spans="1:23" x14ac:dyDescent="0.25">
      <c r="A8" s="1"/>
      <c r="B8" s="1"/>
      <c r="C8" s="1"/>
      <c r="D8" s="1"/>
      <c r="E8" s="1"/>
      <c r="F8" s="1"/>
      <c r="G8" s="1"/>
      <c r="H8" s="1"/>
      <c r="I8" s="1"/>
      <c r="J8" s="1"/>
      <c r="K8" s="1"/>
      <c r="L8" s="1"/>
      <c r="M8" s="1"/>
      <c r="N8" s="1"/>
      <c r="O8" s="1"/>
      <c r="P8">
        <f t="shared" si="0"/>
        <v>0</v>
      </c>
      <c r="Q8" s="50" t="str">
        <f>IF(ABS(P8-O8)&lt;5," ","Sum not correct")</f>
        <v xml:space="preserve"> </v>
      </c>
      <c r="S8" t="e">
        <v>#N/A</v>
      </c>
      <c r="T8" t="e">
        <f>VLOOKUP(B8,'Calcs and References'!A$2:D$6,4)*O8</f>
        <v>#N/A</v>
      </c>
      <c r="U8" t="e">
        <f>T8*1000/'Basic Info'!$D$22</f>
        <v>#N/A</v>
      </c>
      <c r="V8" t="e">
        <f>U8*VLOOKUP(B8,'Calcs and References'!A$2:D$6,3)</f>
        <v>#N/A</v>
      </c>
      <c r="W8" t="e">
        <f>VLOOKUP(B8,'Calcs and References'!A$2:E$6,2)*O8</f>
        <v>#N/A</v>
      </c>
    </row>
    <row r="9" spans="1:23" x14ac:dyDescent="0.25">
      <c r="V9" t="e">
        <f>SUMIF(V5:V8,"&lt;&gt;#N/A")</f>
        <v>#DIV/0!</v>
      </c>
      <c r="W9">
        <f>SUMIF(W5:W8,"&lt;&gt;#N/A")</f>
        <v>0</v>
      </c>
    </row>
    <row r="10" spans="1:23" x14ac:dyDescent="0.25">
      <c r="T10" t="s">
        <v>69</v>
      </c>
      <c r="U10" t="s">
        <v>70</v>
      </c>
    </row>
    <row r="11" spans="1:23" x14ac:dyDescent="0.25">
      <c r="A11" t="s">
        <v>25</v>
      </c>
      <c r="T11">
        <f>SUMIF(_xlfn.ANCHORARRAY(S5),S2,O5:O8)</f>
        <v>0</v>
      </c>
      <c r="U11" s="27">
        <f>SUMIF(_xlfn.ANCHORARRAY(S5),S2,T5:T8)</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SUMIF(_xlfn.ANCHORARRAY(S5),T2,T5:T8)</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SUMIF(_xlfn.ANCHORARRAY(S5),U2,T5:T8)</f>
        <v>0</v>
      </c>
    </row>
    <row r="16" spans="1:23" x14ac:dyDescent="0.25">
      <c r="A16" s="1"/>
      <c r="B16" s="1"/>
      <c r="C16" s="1"/>
      <c r="D16" s="1"/>
      <c r="E16" s="1"/>
      <c r="F16" s="1"/>
      <c r="G16" s="1"/>
      <c r="H16" s="1"/>
    </row>
    <row r="17" spans="1:8" ht="30" x14ac:dyDescent="0.25">
      <c r="F17" s="3" t="s">
        <v>32</v>
      </c>
      <c r="G17" s="4" t="s">
        <v>23</v>
      </c>
      <c r="H17" s="4"/>
    </row>
    <row r="18" spans="1:8" x14ac:dyDescent="0.25">
      <c r="F18" s="1"/>
      <c r="G18" s="167" t="str">
        <f>IF(ABS(F13+F14+F15+F16-F18)&lt;5," ","Sum not correct")</f>
        <v xml:space="preserve"> </v>
      </c>
      <c r="H18" s="168"/>
    </row>
    <row r="20" spans="1:8" x14ac:dyDescent="0.25">
      <c r="A20" s="2" t="s">
        <v>37</v>
      </c>
    </row>
    <row r="21" spans="1:8" x14ac:dyDescent="0.25">
      <c r="A21" s="169"/>
      <c r="B21" s="169"/>
      <c r="C21" s="169"/>
      <c r="D21" s="169"/>
    </row>
  </sheetData>
  <mergeCells count="2">
    <mergeCell ref="A21:D2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B55D6F1-C21C-4968-82C2-80C3F95A2B4A}">
          <x14:formula1>
            <xm:f>'Calcs and References'!$A$2:$A$9</xm:f>
          </x14:formula1>
          <xm:sqref>B13:B16 B5:B8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B4B08-FEBA-4D1F-89A7-C29FC2110421}">
  <dimension ref="A1:W21"/>
  <sheetViews>
    <sheetView workbookViewId="0">
      <selection activeCell="P1" sqref="P1:P1048576"/>
    </sheetView>
  </sheetViews>
  <sheetFormatPr defaultRowHeight="15" x14ac:dyDescent="0.25"/>
  <cols>
    <col min="1" max="1" width="29.85546875" customWidth="1"/>
    <col min="2" max="2" width="18.7109375" customWidth="1"/>
    <col min="4" max="4" width="14.7109375" customWidth="1"/>
    <col min="16" max="16" width="2" hidden="1" customWidth="1"/>
    <col min="17" max="17" width="18.85546875" customWidth="1"/>
    <col min="19" max="19" width="9.140625" customWidth="1"/>
    <col min="20" max="20" width="13.42578125" customWidth="1"/>
    <col min="21" max="21" width="14.7109375" customWidth="1"/>
    <col min="22" max="22" width="11.28515625" customWidth="1"/>
    <col min="23" max="23" width="9.140625" customWidth="1"/>
  </cols>
  <sheetData>
    <row r="1" spans="1:23" x14ac:dyDescent="0.25">
      <c r="A1" t="s">
        <v>89</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cm="1">
        <f t="array" ref="S5:S8">VLOOKUP(B5:B8,'Calcs and References'!A2:E6,5)</f>
        <v>ELEC</v>
      </c>
      <c r="T5">
        <f>VLOOKUP(B5,'Calcs and References'!A$2:D$6,4)*O5</f>
        <v>0</v>
      </c>
      <c r="U5" t="e">
        <f>T5*1000/'Basic Info'!$D$22</f>
        <v>#DIV/0!</v>
      </c>
      <c r="V5" t="e">
        <f>U5*VLOOKUP(B5,'Calcs and References'!A$2:D$6,3)</f>
        <v>#DIV/0!</v>
      </c>
      <c r="W5">
        <f>VLOOKUP(B5,'Calcs and References'!A$2:E$6,2)*O5</f>
        <v>0</v>
      </c>
    </row>
    <row r="6" spans="1:23" x14ac:dyDescent="0.25">
      <c r="A6" s="1"/>
      <c r="B6" s="1" t="s">
        <v>22</v>
      </c>
      <c r="C6" s="1"/>
      <c r="D6" s="1"/>
      <c r="E6" s="1"/>
      <c r="F6" s="1"/>
      <c r="G6" s="1"/>
      <c r="H6" s="1"/>
      <c r="I6" s="1"/>
      <c r="J6" s="1"/>
      <c r="K6" s="1"/>
      <c r="L6" s="1"/>
      <c r="M6" s="1"/>
      <c r="N6" s="1"/>
      <c r="O6" s="1"/>
      <c r="P6">
        <f>SUM(C6:N6)</f>
        <v>0</v>
      </c>
      <c r="Q6" s="50" t="str">
        <f>IF(ABS(P6-O6)&lt;5," ","Sum not correct")</f>
        <v xml:space="preserve"> </v>
      </c>
      <c r="S6" t="str">
        <v>FF</v>
      </c>
      <c r="T6">
        <f>VLOOKUP(B6,'Calcs and References'!A$2:D$6,4)*O6</f>
        <v>0</v>
      </c>
      <c r="U6" t="e">
        <f>T6*1000/'Basic Info'!$D$22</f>
        <v>#DIV/0!</v>
      </c>
      <c r="V6" t="e">
        <f>U6*VLOOKUP(B6,'Calcs and References'!A$2:D$6,3)</f>
        <v>#DIV/0!</v>
      </c>
      <c r="W6">
        <f>VLOOKUP(B6,'Calcs and References'!A$2:E$6,2)*O6</f>
        <v>0</v>
      </c>
    </row>
    <row r="7" spans="1:23" x14ac:dyDescent="0.25">
      <c r="A7" s="1"/>
      <c r="B7" s="1"/>
      <c r="C7" s="1"/>
      <c r="D7" s="1"/>
      <c r="E7" s="1"/>
      <c r="F7" s="1"/>
      <c r="G7" s="1"/>
      <c r="H7" s="1"/>
      <c r="I7" s="1"/>
      <c r="J7" s="1"/>
      <c r="K7" s="1"/>
      <c r="L7" s="1"/>
      <c r="M7" s="1"/>
      <c r="N7" s="1"/>
      <c r="O7" s="1"/>
      <c r="P7">
        <f t="shared" ref="P7:P8" si="0">SUM(C7:N7)</f>
        <v>0</v>
      </c>
      <c r="Q7" s="50" t="str">
        <f>IF(ABS(P7-O7)&lt;5," ","Sum not correct")</f>
        <v xml:space="preserve"> </v>
      </c>
      <c r="S7" t="e">
        <v>#N/A</v>
      </c>
      <c r="T7" t="e">
        <f>VLOOKUP(B7,'Calcs and References'!A$2:D$6,4)*O7</f>
        <v>#N/A</v>
      </c>
      <c r="U7" t="e">
        <f>T7*1000/'Basic Info'!$D$22</f>
        <v>#N/A</v>
      </c>
      <c r="V7" t="e">
        <f>U7*VLOOKUP(B7,'Calcs and References'!A$2:D$6,3)</f>
        <v>#N/A</v>
      </c>
      <c r="W7" t="e">
        <f>VLOOKUP(B7,'Calcs and References'!A$2:E$6,2)*O7</f>
        <v>#N/A</v>
      </c>
    </row>
    <row r="8" spans="1:23" x14ac:dyDescent="0.25">
      <c r="A8" s="1"/>
      <c r="B8" s="1"/>
      <c r="C8" s="1"/>
      <c r="D8" s="1"/>
      <c r="E8" s="1"/>
      <c r="F8" s="1"/>
      <c r="G8" s="1"/>
      <c r="H8" s="1"/>
      <c r="I8" s="1"/>
      <c r="J8" s="1"/>
      <c r="K8" s="1"/>
      <c r="L8" s="1"/>
      <c r="M8" s="1"/>
      <c r="N8" s="1"/>
      <c r="O8" s="1"/>
      <c r="P8">
        <f t="shared" si="0"/>
        <v>0</v>
      </c>
      <c r="Q8" s="50" t="str">
        <f>IF(ABS(P8-O8)&lt;5," ","Sum not correct")</f>
        <v xml:space="preserve"> </v>
      </c>
      <c r="S8" t="e">
        <v>#N/A</v>
      </c>
      <c r="T8" t="e">
        <f>VLOOKUP(B8,'Calcs and References'!A$2:D$6,4)*O8</f>
        <v>#N/A</v>
      </c>
      <c r="U8" t="e">
        <f>T8*1000/'Basic Info'!$D$22</f>
        <v>#N/A</v>
      </c>
      <c r="V8" t="e">
        <f>U8*VLOOKUP(B8,'Calcs and References'!A$2:D$6,3)</f>
        <v>#N/A</v>
      </c>
      <c r="W8" t="e">
        <f>VLOOKUP(B8,'Calcs and References'!A$2:E$6,2)*O8</f>
        <v>#N/A</v>
      </c>
    </row>
    <row r="9" spans="1:23" x14ac:dyDescent="0.25">
      <c r="V9" t="e">
        <f>SUMIF(V5:V8,"&lt;&gt;#N/A")</f>
        <v>#DIV/0!</v>
      </c>
      <c r="W9">
        <f>SUMIF(W5:W8,"&lt;&gt;#N/A")</f>
        <v>0</v>
      </c>
    </row>
    <row r="10" spans="1:23" x14ac:dyDescent="0.25">
      <c r="T10" t="s">
        <v>69</v>
      </c>
      <c r="U10" t="s">
        <v>70</v>
      </c>
    </row>
    <row r="11" spans="1:23" x14ac:dyDescent="0.25">
      <c r="A11" t="s">
        <v>25</v>
      </c>
      <c r="T11">
        <f>SUMIF(_xlfn.ANCHORARRAY(S5),S2,O5:O8)</f>
        <v>0</v>
      </c>
      <c r="U11" s="27">
        <f>SUMIF(_xlfn.ANCHORARRAY(S5),S2,T5:T8)</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SUMIF(_xlfn.ANCHORARRAY(S5),T2,T5:T8)</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SUMIF(_xlfn.ANCHORARRAY(S5),U2,T5:T8)</f>
        <v>0</v>
      </c>
    </row>
    <row r="16" spans="1:23" x14ac:dyDescent="0.25">
      <c r="A16" s="1"/>
      <c r="B16" s="1"/>
      <c r="C16" s="1"/>
      <c r="D16" s="1"/>
      <c r="E16" s="1"/>
      <c r="F16" s="1"/>
      <c r="G16" s="1"/>
      <c r="H16" s="1"/>
    </row>
    <row r="17" spans="1:8" ht="30" x14ac:dyDescent="0.25">
      <c r="F17" s="3" t="s">
        <v>32</v>
      </c>
      <c r="G17" s="4" t="s">
        <v>23</v>
      </c>
      <c r="H17" s="4"/>
    </row>
    <row r="18" spans="1:8" x14ac:dyDescent="0.25">
      <c r="F18" s="1"/>
      <c r="G18" s="167" t="str">
        <f>IF(ABS(F13+F14+F15+F16-F18)&lt;5," ","Sum not correct")</f>
        <v xml:space="preserve"> </v>
      </c>
      <c r="H18" s="168"/>
    </row>
    <row r="20" spans="1:8" x14ac:dyDescent="0.25">
      <c r="A20" s="2" t="s">
        <v>37</v>
      </c>
    </row>
    <row r="21" spans="1:8" x14ac:dyDescent="0.25">
      <c r="A21" s="169"/>
      <c r="B21" s="169"/>
      <c r="C21" s="169"/>
      <c r="D21" s="169"/>
    </row>
  </sheetData>
  <mergeCells count="2">
    <mergeCell ref="A21:D2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4AD1D2A-75A8-4B45-BFE0-677E05D3C749}">
          <x14:formula1>
            <xm:f>'Calcs and References'!$A$2:$A$9</xm:f>
          </x14:formula1>
          <xm:sqref>B13:B16 B5:B8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F6AEF-5463-430C-A029-3542FE444017}">
  <dimension ref="A1:W21"/>
  <sheetViews>
    <sheetView workbookViewId="0">
      <selection activeCell="P1" sqref="P1:P1048576"/>
    </sheetView>
  </sheetViews>
  <sheetFormatPr defaultRowHeight="15" x14ac:dyDescent="0.25"/>
  <cols>
    <col min="1" max="1" width="29.85546875" customWidth="1"/>
    <col min="2" max="2" width="18.7109375" customWidth="1"/>
    <col min="4" max="4" width="14.7109375" customWidth="1"/>
    <col min="16" max="16" width="2" hidden="1" customWidth="1"/>
    <col min="17" max="17" width="18.85546875" customWidth="1"/>
    <col min="19" max="19" width="9.140625" customWidth="1"/>
    <col min="20" max="20" width="13.42578125" customWidth="1"/>
    <col min="21" max="21" width="14.7109375" customWidth="1"/>
    <col min="22" max="22" width="11.28515625" customWidth="1"/>
    <col min="23" max="23" width="9.140625" customWidth="1"/>
  </cols>
  <sheetData>
    <row r="1" spans="1:23" x14ac:dyDescent="0.25">
      <c r="A1" t="s">
        <v>90</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cm="1">
        <f t="array" ref="S5:S8">VLOOKUP(B5:B8,'Calcs and References'!A2:E6,5)</f>
        <v>ELEC</v>
      </c>
      <c r="T5">
        <f>VLOOKUP(B5,'Calcs and References'!A$2:D$6,4)*O5</f>
        <v>0</v>
      </c>
      <c r="U5" t="e">
        <f>T5*1000/'Basic Info'!$D$22</f>
        <v>#DIV/0!</v>
      </c>
      <c r="V5" t="e">
        <f>U5*VLOOKUP(B5,'Calcs and References'!A$2:D$6,3)</f>
        <v>#DIV/0!</v>
      </c>
      <c r="W5">
        <f>VLOOKUP(B5,'Calcs and References'!A$2:E$6,2)*O5</f>
        <v>0</v>
      </c>
    </row>
    <row r="6" spans="1:23" x14ac:dyDescent="0.25">
      <c r="A6" s="1"/>
      <c r="B6" s="1" t="s">
        <v>22</v>
      </c>
      <c r="C6" s="1"/>
      <c r="D6" s="1"/>
      <c r="E6" s="1"/>
      <c r="F6" s="1"/>
      <c r="G6" s="1"/>
      <c r="H6" s="1"/>
      <c r="I6" s="1"/>
      <c r="J6" s="1"/>
      <c r="K6" s="1"/>
      <c r="L6" s="1"/>
      <c r="M6" s="1"/>
      <c r="N6" s="1"/>
      <c r="O6" s="1"/>
      <c r="P6">
        <f>SUM(C6:N6)</f>
        <v>0</v>
      </c>
      <c r="Q6" s="50" t="str">
        <f>IF(ABS(P6-O6)&lt;5," ","Sum not correct")</f>
        <v xml:space="preserve"> </v>
      </c>
      <c r="S6" t="str">
        <v>FF</v>
      </c>
      <c r="T6">
        <f>VLOOKUP(B6,'Calcs and References'!A$2:D$6,4)*O6</f>
        <v>0</v>
      </c>
      <c r="U6" t="e">
        <f>T6*1000/'Basic Info'!$D$22</f>
        <v>#DIV/0!</v>
      </c>
      <c r="V6" t="e">
        <f>U6*VLOOKUP(B6,'Calcs and References'!A$2:D$6,3)</f>
        <v>#DIV/0!</v>
      </c>
      <c r="W6">
        <f>VLOOKUP(B6,'Calcs and References'!A$2:E$6,2)*O6</f>
        <v>0</v>
      </c>
    </row>
    <row r="7" spans="1:23" x14ac:dyDescent="0.25">
      <c r="A7" s="1"/>
      <c r="B7" s="1"/>
      <c r="C7" s="1"/>
      <c r="D7" s="1"/>
      <c r="E7" s="1"/>
      <c r="F7" s="1"/>
      <c r="G7" s="1"/>
      <c r="H7" s="1"/>
      <c r="I7" s="1"/>
      <c r="J7" s="1"/>
      <c r="K7" s="1"/>
      <c r="L7" s="1"/>
      <c r="M7" s="1"/>
      <c r="N7" s="1"/>
      <c r="O7" s="1"/>
      <c r="P7">
        <f t="shared" ref="P7:P8" si="0">SUM(C7:N7)</f>
        <v>0</v>
      </c>
      <c r="Q7" s="50" t="str">
        <f>IF(ABS(P7-O7)&lt;5," ","Sum not correct")</f>
        <v xml:space="preserve"> </v>
      </c>
      <c r="S7" t="e">
        <v>#N/A</v>
      </c>
      <c r="T7" t="e">
        <f>VLOOKUP(B7,'Calcs and References'!A$2:D$6,4)*O7</f>
        <v>#N/A</v>
      </c>
      <c r="U7" t="e">
        <f>T7*1000/'Basic Info'!$D$22</f>
        <v>#N/A</v>
      </c>
      <c r="V7" t="e">
        <f>U7*VLOOKUP(B7,'Calcs and References'!A$2:D$6,3)</f>
        <v>#N/A</v>
      </c>
      <c r="W7" t="e">
        <f>VLOOKUP(B7,'Calcs and References'!A$2:E$6,2)*O7</f>
        <v>#N/A</v>
      </c>
    </row>
    <row r="8" spans="1:23" x14ac:dyDescent="0.25">
      <c r="A8" s="1"/>
      <c r="B8" s="1"/>
      <c r="C8" s="1"/>
      <c r="D8" s="1"/>
      <c r="E8" s="1"/>
      <c r="F8" s="1"/>
      <c r="G8" s="1"/>
      <c r="H8" s="1"/>
      <c r="I8" s="1"/>
      <c r="J8" s="1"/>
      <c r="K8" s="1"/>
      <c r="L8" s="1"/>
      <c r="M8" s="1"/>
      <c r="N8" s="1"/>
      <c r="O8" s="1"/>
      <c r="P8">
        <f t="shared" si="0"/>
        <v>0</v>
      </c>
      <c r="Q8" s="50" t="str">
        <f>IF(ABS(P8-O8)&lt;5," ","Sum not correct")</f>
        <v xml:space="preserve"> </v>
      </c>
      <c r="S8" t="e">
        <v>#N/A</v>
      </c>
      <c r="T8" t="e">
        <f>VLOOKUP(B8,'Calcs and References'!A$2:D$6,4)*O8</f>
        <v>#N/A</v>
      </c>
      <c r="U8" t="e">
        <f>T8*1000/'Basic Info'!$D$22</f>
        <v>#N/A</v>
      </c>
      <c r="V8" t="e">
        <f>U8*VLOOKUP(B8,'Calcs and References'!A$2:D$6,3)</f>
        <v>#N/A</v>
      </c>
      <c r="W8" t="e">
        <f>VLOOKUP(B8,'Calcs and References'!A$2:E$6,2)*O8</f>
        <v>#N/A</v>
      </c>
    </row>
    <row r="9" spans="1:23" x14ac:dyDescent="0.25">
      <c r="V9" t="e">
        <f>SUMIF(V5:V8,"&lt;&gt;#N/A")</f>
        <v>#DIV/0!</v>
      </c>
      <c r="W9">
        <f>SUMIF(W5:W8,"&lt;&gt;#N/A")</f>
        <v>0</v>
      </c>
    </row>
    <row r="10" spans="1:23" x14ac:dyDescent="0.25">
      <c r="T10" t="s">
        <v>69</v>
      </c>
      <c r="U10" t="s">
        <v>70</v>
      </c>
    </row>
    <row r="11" spans="1:23" x14ac:dyDescent="0.25">
      <c r="A11" t="s">
        <v>25</v>
      </c>
      <c r="T11">
        <f>SUMIF(_xlfn.ANCHORARRAY(S5),S2,O5:O8)</f>
        <v>0</v>
      </c>
      <c r="U11" s="27">
        <f>SUMIF(_xlfn.ANCHORARRAY(S5),S2,T5:T8)</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SUMIF(_xlfn.ANCHORARRAY(S5),T2,T5:T8)</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SUMIF(_xlfn.ANCHORARRAY(S5),U2,T5:T8)</f>
        <v>0</v>
      </c>
    </row>
    <row r="16" spans="1:23" x14ac:dyDescent="0.25">
      <c r="A16" s="1"/>
      <c r="B16" s="1"/>
      <c r="C16" s="1"/>
      <c r="D16" s="1"/>
      <c r="E16" s="1"/>
      <c r="F16" s="1"/>
      <c r="G16" s="1"/>
      <c r="H16" s="1"/>
    </row>
    <row r="17" spans="1:8" ht="30" x14ac:dyDescent="0.25">
      <c r="F17" s="3" t="s">
        <v>32</v>
      </c>
      <c r="G17" s="4" t="s">
        <v>23</v>
      </c>
      <c r="H17" s="4"/>
    </row>
    <row r="18" spans="1:8" x14ac:dyDescent="0.25">
      <c r="F18" s="1"/>
      <c r="G18" s="167" t="str">
        <f>IF(ABS(F13+F14+F15+F16-F18)&lt;5," ","Sum not correct")</f>
        <v xml:space="preserve"> </v>
      </c>
      <c r="H18" s="168"/>
    </row>
    <row r="20" spans="1:8" x14ac:dyDescent="0.25">
      <c r="A20" s="2" t="s">
        <v>37</v>
      </c>
    </row>
    <row r="21" spans="1:8" x14ac:dyDescent="0.25">
      <c r="A21" s="169"/>
      <c r="B21" s="169"/>
      <c r="C21" s="169"/>
      <c r="D21" s="169"/>
    </row>
  </sheetData>
  <mergeCells count="2">
    <mergeCell ref="A21:D2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9F75BFE-F1BE-432D-B7FB-462404A35AE7}">
          <x14:formula1>
            <xm:f>'Calcs and References'!$A$2:$A$9</xm:f>
          </x14:formula1>
          <xm:sqref>B13:B16 B5:B8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D226E-5501-4BA8-857A-CDB45EA391A5}">
  <dimension ref="A1:W21"/>
  <sheetViews>
    <sheetView workbookViewId="0">
      <selection activeCell="P1" sqref="P1:P1048576"/>
    </sheetView>
  </sheetViews>
  <sheetFormatPr defaultRowHeight="15" x14ac:dyDescent="0.25"/>
  <cols>
    <col min="1" max="1" width="29.85546875" customWidth="1"/>
    <col min="2" max="2" width="18.7109375" customWidth="1"/>
    <col min="4" max="4" width="14.7109375" customWidth="1"/>
    <col min="16" max="16" width="2" hidden="1" customWidth="1"/>
    <col min="17" max="17" width="18.85546875" customWidth="1"/>
    <col min="19" max="19" width="9.140625" customWidth="1"/>
    <col min="20" max="20" width="13.42578125" customWidth="1"/>
    <col min="21" max="21" width="14.7109375" customWidth="1"/>
    <col min="22" max="22" width="11.28515625" customWidth="1"/>
    <col min="23" max="23" width="9.140625" customWidth="1"/>
  </cols>
  <sheetData>
    <row r="1" spans="1:23" x14ac:dyDescent="0.25">
      <c r="A1" t="s">
        <v>91</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cm="1">
        <f t="array" ref="S5:S8">VLOOKUP(B5:B8,'Calcs and References'!A2:E6,5)</f>
        <v>ELEC</v>
      </c>
      <c r="T5">
        <f>VLOOKUP(B5,'Calcs and References'!A$2:D$6,4)*O5</f>
        <v>0</v>
      </c>
      <c r="U5" t="e">
        <f>T5*1000/'Basic Info'!$D$22</f>
        <v>#DIV/0!</v>
      </c>
      <c r="V5" t="e">
        <f>U5*VLOOKUP(B5,'Calcs and References'!A$2:D$6,3)</f>
        <v>#DIV/0!</v>
      </c>
      <c r="W5">
        <f>VLOOKUP(B5,'Calcs and References'!A$2:E$6,2)*O5</f>
        <v>0</v>
      </c>
    </row>
    <row r="6" spans="1:23" x14ac:dyDescent="0.25">
      <c r="A6" s="1"/>
      <c r="B6" s="1" t="s">
        <v>22</v>
      </c>
      <c r="C6" s="1"/>
      <c r="D6" s="1"/>
      <c r="E6" s="1"/>
      <c r="F6" s="1"/>
      <c r="G6" s="1"/>
      <c r="H6" s="1"/>
      <c r="I6" s="1"/>
      <c r="J6" s="1"/>
      <c r="K6" s="1"/>
      <c r="L6" s="1"/>
      <c r="M6" s="1"/>
      <c r="N6" s="1"/>
      <c r="O6" s="1"/>
      <c r="P6">
        <f>SUM(C6:N6)</f>
        <v>0</v>
      </c>
      <c r="Q6" s="50" t="str">
        <f>IF(ABS(P6-O6)&lt;5," ","Sum not correct")</f>
        <v xml:space="preserve"> </v>
      </c>
      <c r="S6" t="str">
        <v>FF</v>
      </c>
      <c r="T6">
        <f>VLOOKUP(B6,'Calcs and References'!A$2:D$6,4)*O6</f>
        <v>0</v>
      </c>
      <c r="U6" t="e">
        <f>T6*1000/'Basic Info'!$D$22</f>
        <v>#DIV/0!</v>
      </c>
      <c r="V6" t="e">
        <f>U6*VLOOKUP(B6,'Calcs and References'!A$2:D$6,3)</f>
        <v>#DIV/0!</v>
      </c>
      <c r="W6">
        <f>VLOOKUP(B6,'Calcs and References'!A$2:E$6,2)*O6</f>
        <v>0</v>
      </c>
    </row>
    <row r="7" spans="1:23" x14ac:dyDescent="0.25">
      <c r="A7" s="1"/>
      <c r="B7" s="1"/>
      <c r="C7" s="1"/>
      <c r="D7" s="1"/>
      <c r="E7" s="1"/>
      <c r="F7" s="1"/>
      <c r="G7" s="1"/>
      <c r="H7" s="1"/>
      <c r="I7" s="1"/>
      <c r="J7" s="1"/>
      <c r="K7" s="1"/>
      <c r="L7" s="1"/>
      <c r="M7" s="1"/>
      <c r="N7" s="1"/>
      <c r="O7" s="1"/>
      <c r="P7">
        <f t="shared" ref="P7:P8" si="0">SUM(C7:N7)</f>
        <v>0</v>
      </c>
      <c r="Q7" s="50" t="str">
        <f>IF(ABS(P7-O7)&lt;5," ","Sum not correct")</f>
        <v xml:space="preserve"> </v>
      </c>
      <c r="S7" t="e">
        <v>#N/A</v>
      </c>
      <c r="T7" t="e">
        <f>VLOOKUP(B7,'Calcs and References'!A$2:D$6,4)*O7</f>
        <v>#N/A</v>
      </c>
      <c r="U7" t="e">
        <f>T7*1000/'Basic Info'!$D$22</f>
        <v>#N/A</v>
      </c>
      <c r="V7" t="e">
        <f>U7*VLOOKUP(B7,'Calcs and References'!A$2:D$6,3)</f>
        <v>#N/A</v>
      </c>
      <c r="W7" t="e">
        <f>VLOOKUP(B7,'Calcs and References'!A$2:E$6,2)*O7</f>
        <v>#N/A</v>
      </c>
    </row>
    <row r="8" spans="1:23" x14ac:dyDescent="0.25">
      <c r="A8" s="1"/>
      <c r="B8" s="1"/>
      <c r="C8" s="1"/>
      <c r="D8" s="1"/>
      <c r="E8" s="1"/>
      <c r="F8" s="1"/>
      <c r="G8" s="1"/>
      <c r="H8" s="1"/>
      <c r="I8" s="1"/>
      <c r="J8" s="1"/>
      <c r="K8" s="1"/>
      <c r="L8" s="1"/>
      <c r="M8" s="1"/>
      <c r="N8" s="1"/>
      <c r="O8" s="1"/>
      <c r="P8">
        <f t="shared" si="0"/>
        <v>0</v>
      </c>
      <c r="Q8" s="50" t="str">
        <f>IF(ABS(P8-O8)&lt;5," ","Sum not correct")</f>
        <v xml:space="preserve"> </v>
      </c>
      <c r="S8" t="e">
        <v>#N/A</v>
      </c>
      <c r="T8" t="e">
        <f>VLOOKUP(B8,'Calcs and References'!A$2:D$6,4)*O8</f>
        <v>#N/A</v>
      </c>
      <c r="U8" t="e">
        <f>T8*1000/'Basic Info'!$D$22</f>
        <v>#N/A</v>
      </c>
      <c r="V8" t="e">
        <f>U8*VLOOKUP(B8,'Calcs and References'!A$2:D$6,3)</f>
        <v>#N/A</v>
      </c>
      <c r="W8" t="e">
        <f>VLOOKUP(B8,'Calcs and References'!A$2:E$6,2)*O8</f>
        <v>#N/A</v>
      </c>
    </row>
    <row r="9" spans="1:23" x14ac:dyDescent="0.25">
      <c r="V9" t="e">
        <f>SUMIF(V5:V8,"&lt;&gt;#N/A")</f>
        <v>#DIV/0!</v>
      </c>
      <c r="W9">
        <f>SUMIF(W5:W8,"&lt;&gt;#N/A")</f>
        <v>0</v>
      </c>
    </row>
    <row r="10" spans="1:23" x14ac:dyDescent="0.25">
      <c r="T10" t="s">
        <v>69</v>
      </c>
      <c r="U10" t="s">
        <v>70</v>
      </c>
    </row>
    <row r="11" spans="1:23" x14ac:dyDescent="0.25">
      <c r="A11" t="s">
        <v>25</v>
      </c>
      <c r="T11">
        <f>SUMIF(_xlfn.ANCHORARRAY(S5),S2,O5:O8)</f>
        <v>0</v>
      </c>
      <c r="U11" s="27">
        <f>SUMIF(_xlfn.ANCHORARRAY(S5),S2,T5:T8)</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SUMIF(_xlfn.ANCHORARRAY(S5),T2,T5:T8)</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SUMIF(_xlfn.ANCHORARRAY(S5),U2,T5:T8)</f>
        <v>0</v>
      </c>
    </row>
    <row r="16" spans="1:23" x14ac:dyDescent="0.25">
      <c r="A16" s="1"/>
      <c r="B16" s="1"/>
      <c r="C16" s="1"/>
      <c r="D16" s="1"/>
      <c r="E16" s="1"/>
      <c r="F16" s="1"/>
      <c r="G16" s="1"/>
      <c r="H16" s="1"/>
    </row>
    <row r="17" spans="1:8" ht="30" x14ac:dyDescent="0.25">
      <c r="F17" s="3" t="s">
        <v>32</v>
      </c>
      <c r="G17" s="4" t="s">
        <v>23</v>
      </c>
      <c r="H17" s="4"/>
    </row>
    <row r="18" spans="1:8" x14ac:dyDescent="0.25">
      <c r="F18" s="1"/>
      <c r="G18" s="167" t="str">
        <f>IF(ABS(F13+F14+F15+F16-F18)&lt;5," ","Sum not correct")</f>
        <v xml:space="preserve"> </v>
      </c>
      <c r="H18" s="168"/>
    </row>
    <row r="20" spans="1:8" x14ac:dyDescent="0.25">
      <c r="A20" s="2" t="s">
        <v>37</v>
      </c>
    </row>
    <row r="21" spans="1:8" x14ac:dyDescent="0.25">
      <c r="A21" s="169"/>
      <c r="B21" s="169"/>
      <c r="C21" s="169"/>
      <c r="D21" s="169"/>
    </row>
  </sheetData>
  <mergeCells count="2">
    <mergeCell ref="A21:D2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317B73F-7D2B-4B3D-AC55-4CC5A42B364E}">
          <x14:formula1>
            <xm:f>'Calcs and References'!$A$2:$A$9</xm:f>
          </x14:formula1>
          <xm:sqref>B13:B16 B5:B8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69B51-5A8C-466F-BB86-2CF8D9B9F8A9}">
  <dimension ref="B1:Q44"/>
  <sheetViews>
    <sheetView tabSelected="1" topLeftCell="A3" zoomScale="120" zoomScaleNormal="120" workbookViewId="0">
      <selection activeCell="Q23" sqref="Q23"/>
    </sheetView>
  </sheetViews>
  <sheetFormatPr defaultRowHeight="15" x14ac:dyDescent="0.25"/>
  <cols>
    <col min="1" max="1" width="2.7109375" customWidth="1"/>
    <col min="2" max="2" width="7" customWidth="1"/>
    <col min="3" max="3" width="41.28515625" bestFit="1" customWidth="1"/>
    <col min="4" max="4" width="13.5703125" bestFit="1" customWidth="1"/>
    <col min="5" max="5" width="12.7109375" customWidth="1"/>
    <col min="6" max="7" width="13.140625" customWidth="1"/>
    <col min="8" max="9" width="14.28515625" customWidth="1"/>
    <col min="10" max="10" width="15.42578125" customWidth="1"/>
    <col min="11" max="13" width="15" customWidth="1"/>
    <col min="14" max="14" width="15.140625" customWidth="1"/>
    <col min="15" max="15" width="15.7109375" customWidth="1"/>
  </cols>
  <sheetData>
    <row r="1" spans="2:15" ht="15.75" thickBot="1" x14ac:dyDescent="0.3"/>
    <row r="2" spans="2:15" ht="27" thickBot="1" x14ac:dyDescent="0.45">
      <c r="C2" s="149" t="s">
        <v>42</v>
      </c>
      <c r="D2" s="152"/>
      <c r="E2" s="152"/>
      <c r="F2" s="152"/>
      <c r="G2" s="152"/>
      <c r="H2" s="152"/>
      <c r="I2" s="152"/>
      <c r="J2" s="152"/>
      <c r="K2" s="152"/>
      <c r="L2" s="152"/>
      <c r="M2" s="152"/>
      <c r="N2" s="152"/>
      <c r="O2" s="151"/>
    </row>
    <row r="3" spans="2:15" ht="45.75" thickBot="1" x14ac:dyDescent="0.3">
      <c r="B3" s="6" t="s">
        <v>43</v>
      </c>
      <c r="C3" s="29" t="s">
        <v>37</v>
      </c>
      <c r="D3" s="31" t="s">
        <v>40</v>
      </c>
      <c r="E3" s="32" t="s">
        <v>38</v>
      </c>
      <c r="F3" s="32" t="s">
        <v>39</v>
      </c>
      <c r="G3" s="32" t="s">
        <v>79</v>
      </c>
      <c r="H3" s="32" t="s">
        <v>78</v>
      </c>
      <c r="I3" s="32" t="s">
        <v>77</v>
      </c>
      <c r="J3" s="32" t="s">
        <v>41</v>
      </c>
      <c r="K3" s="32" t="s">
        <v>76</v>
      </c>
      <c r="L3" s="32" t="s">
        <v>95</v>
      </c>
      <c r="M3" s="32" t="s">
        <v>96</v>
      </c>
      <c r="N3" s="32" t="s">
        <v>81</v>
      </c>
      <c r="O3" s="33" t="s">
        <v>80</v>
      </c>
    </row>
    <row r="4" spans="2:15" ht="15.75" thickBot="1" x14ac:dyDescent="0.3">
      <c r="B4" s="28" t="s">
        <v>75</v>
      </c>
      <c r="C4" s="30" t="s">
        <v>74</v>
      </c>
      <c r="D4" s="42" t="s">
        <v>75</v>
      </c>
      <c r="E4" s="39">
        <f>'Existing Building Baseline'!F18</f>
        <v>0</v>
      </c>
      <c r="F4" s="37" t="s">
        <v>75</v>
      </c>
      <c r="G4" s="78" t="e">
        <f>'Existing Building Baseline'!V9</f>
        <v>#DIV/0!</v>
      </c>
      <c r="H4" s="37" t="s">
        <v>75</v>
      </c>
      <c r="I4" s="78">
        <f>'Existing Building Baseline'!U11</f>
        <v>0</v>
      </c>
      <c r="J4" s="37" t="s">
        <v>75</v>
      </c>
      <c r="K4" s="78">
        <f>'Existing Building Baseline'!U13</f>
        <v>0</v>
      </c>
      <c r="L4" s="37" t="s">
        <v>75</v>
      </c>
      <c r="M4" s="79">
        <f>'Existing Building Baseline'!U15</f>
        <v>0</v>
      </c>
      <c r="N4" s="37" t="s">
        <v>75</v>
      </c>
      <c r="O4" s="80">
        <f>'Existing Building Baseline'!W9</f>
        <v>0</v>
      </c>
    </row>
    <row r="5" spans="2:15" x14ac:dyDescent="0.25">
      <c r="B5" s="7">
        <v>1</v>
      </c>
      <c r="C5" s="34" t="str">
        <f>IF('EEM1'!A21=0," ",'EEM1'!A21)</f>
        <v xml:space="preserve"> </v>
      </c>
      <c r="D5" s="43" t="str">
        <f>IF($C5 = " "," ",E4-E5)</f>
        <v xml:space="preserve"> </v>
      </c>
      <c r="E5" s="38" t="str">
        <f>IF($C5 = " "," ",'EEM1'!F18)</f>
        <v xml:space="preserve"> </v>
      </c>
      <c r="F5" s="81" t="str">
        <f>IF($C5 = " "," ",G4-G5)</f>
        <v xml:space="preserve"> </v>
      </c>
      <c r="G5" s="81" t="str">
        <f>IF($C5 = " "," ",'EEM1'!V9)</f>
        <v xml:space="preserve"> </v>
      </c>
      <c r="H5" s="81" t="str">
        <f>IF($C5 = " "," ",I4-I5)</f>
        <v xml:space="preserve"> </v>
      </c>
      <c r="I5" s="81" t="str">
        <f>IF($C5 = " "," ",'EEM1'!U11)</f>
        <v xml:space="preserve"> </v>
      </c>
      <c r="J5" s="81" t="str">
        <f>IF($C5 = " "," ",K4-K5)</f>
        <v xml:space="preserve"> </v>
      </c>
      <c r="K5" s="81" t="str">
        <f>IF($C5 = " "," ",'EEM1'!U13)</f>
        <v xml:space="preserve"> </v>
      </c>
      <c r="L5" s="82" t="str">
        <f>IF($C5 = " "," ",M4-M5)</f>
        <v xml:space="preserve"> </v>
      </c>
      <c r="M5" s="82" t="str">
        <f>IF($C5 = " "," ",'EEM1'!U$15)</f>
        <v xml:space="preserve"> </v>
      </c>
      <c r="N5" s="82" t="str">
        <f>IF($C5 = " "," ",O4-O5)</f>
        <v xml:space="preserve"> </v>
      </c>
      <c r="O5" s="83" t="str">
        <f>IF($C5 = " "," ",'EEM1'!W9)</f>
        <v xml:space="preserve"> </v>
      </c>
    </row>
    <row r="6" spans="2:15" x14ac:dyDescent="0.25">
      <c r="B6" s="7">
        <v>2</v>
      </c>
      <c r="C6" s="35" t="str">
        <f>IF('EEM2'!A21=0," ",'EEM2'!A21)</f>
        <v xml:space="preserve"> </v>
      </c>
      <c r="D6" s="44" t="str">
        <f>IF($C6 = " "," ",E5-E6)</f>
        <v xml:space="preserve"> </v>
      </c>
      <c r="E6" s="40" t="str">
        <f>IF($C6 = " "," ",'EEM2'!F$18)</f>
        <v xml:space="preserve"> </v>
      </c>
      <c r="F6" s="84" t="str">
        <f>IF($C6 = " "," ",G5-G6)</f>
        <v xml:space="preserve"> </v>
      </c>
      <c r="G6" s="84" t="str">
        <f>IF($C6 = " "," ",'EEM2'!V$9)</f>
        <v xml:space="preserve"> </v>
      </c>
      <c r="H6" s="84" t="str">
        <f>IF($C6 = " "," ",I5-I6)</f>
        <v xml:space="preserve"> </v>
      </c>
      <c r="I6" s="84" t="str">
        <f>IF($C6 = " "," ",'EEM2'!U$11)</f>
        <v xml:space="preserve"> </v>
      </c>
      <c r="J6" s="84" t="str">
        <f>IF($C6 = " "," ",K5-K6)</f>
        <v xml:space="preserve"> </v>
      </c>
      <c r="K6" s="84" t="str">
        <f>IF($C6 = " "," ",'EEM2'!U$13)</f>
        <v xml:space="preserve"> </v>
      </c>
      <c r="L6" s="77" t="str">
        <f>IF($C6 = " "," ",M5-M6)</f>
        <v xml:space="preserve"> </v>
      </c>
      <c r="M6" s="77" t="str">
        <f>IF($C6 = " "," ",'EEM2'!U$15)</f>
        <v xml:space="preserve"> </v>
      </c>
      <c r="N6" s="77" t="str">
        <f>IF($C6 = " "," ",O5-O6)</f>
        <v xml:space="preserve"> </v>
      </c>
      <c r="O6" s="58" t="str">
        <f>IF($C6 = " "," ",'EEM2'!W$9)</f>
        <v xml:space="preserve"> </v>
      </c>
    </row>
    <row r="7" spans="2:15" x14ac:dyDescent="0.25">
      <c r="B7" s="7">
        <v>3</v>
      </c>
      <c r="C7" s="35" t="str">
        <f>IF('EEM3'!A21=0," ",'EEM3'!A21)</f>
        <v xml:space="preserve"> </v>
      </c>
      <c r="D7" s="44" t="str">
        <f t="shared" ref="D7:D19" si="0">IF($C7 = " "," ",E6-E7)</f>
        <v xml:space="preserve"> </v>
      </c>
      <c r="E7" s="40" t="str">
        <f>IF($C7 = " "," ",'EEM3'!F$18)</f>
        <v xml:space="preserve"> </v>
      </c>
      <c r="F7" s="84" t="str">
        <f t="shared" ref="F7:F19" si="1">IF($C7 = " "," ",G6-G7)</f>
        <v xml:space="preserve"> </v>
      </c>
      <c r="G7" s="84" t="str">
        <f>IF($C7 = " "," ",'EEM3'!V$9)</f>
        <v xml:space="preserve"> </v>
      </c>
      <c r="H7" s="84" t="str">
        <f t="shared" ref="H7:H19" si="2">IF($C7 = " "," ",I6-I7)</f>
        <v xml:space="preserve"> </v>
      </c>
      <c r="I7" s="84" t="str">
        <f>IF($C7 = " "," ",'EEM3'!U$11)</f>
        <v xml:space="preserve"> </v>
      </c>
      <c r="J7" s="84" t="str">
        <f t="shared" ref="J7:J19" si="3">IF($C7 = " "," ",K6-K7)</f>
        <v xml:space="preserve"> </v>
      </c>
      <c r="K7" s="84" t="str">
        <f>IF($C7 = " "," ",'EEM3'!U$13)</f>
        <v xml:space="preserve"> </v>
      </c>
      <c r="L7" s="77" t="str">
        <f t="shared" ref="L7:L19" si="4">IF($C7 = " "," ",M6-M7)</f>
        <v xml:space="preserve"> </v>
      </c>
      <c r="M7" s="77" t="str">
        <f>IF($C7 = " "," ",'EEM3'!U$15)</f>
        <v xml:space="preserve"> </v>
      </c>
      <c r="N7" s="77" t="str">
        <f t="shared" ref="N7:N19" si="5">IF($C7 = " "," ",O6-O7)</f>
        <v xml:space="preserve"> </v>
      </c>
      <c r="O7" s="58" t="str">
        <f>IF($C7 = " "," ",'EEM3'!W$9)</f>
        <v xml:space="preserve"> </v>
      </c>
    </row>
    <row r="8" spans="2:15" x14ac:dyDescent="0.25">
      <c r="B8" s="7">
        <v>4</v>
      </c>
      <c r="C8" s="35" t="str">
        <f>IF('EEM4'!A21=0," ",'EEM4'!A21)</f>
        <v xml:space="preserve"> </v>
      </c>
      <c r="D8" s="44" t="str">
        <f t="shared" si="0"/>
        <v xml:space="preserve"> </v>
      </c>
      <c r="E8" s="40" t="str">
        <f>IF($C8 = " "," ",'EEM4'!F$18)</f>
        <v xml:space="preserve"> </v>
      </c>
      <c r="F8" s="84" t="str">
        <f t="shared" si="1"/>
        <v xml:space="preserve"> </v>
      </c>
      <c r="G8" s="84" t="str">
        <f>IF($C8 = " "," ",'EEM4'!V$9)</f>
        <v xml:space="preserve"> </v>
      </c>
      <c r="H8" s="84" t="str">
        <f t="shared" si="2"/>
        <v xml:space="preserve"> </v>
      </c>
      <c r="I8" s="84" t="str">
        <f>IF($C8 = " "," ",'EEM4'!U$11)</f>
        <v xml:space="preserve"> </v>
      </c>
      <c r="J8" s="84" t="str">
        <f t="shared" si="3"/>
        <v xml:space="preserve"> </v>
      </c>
      <c r="K8" s="84" t="str">
        <f>IF($C8 = " "," ",'EEM4'!U$13)</f>
        <v xml:space="preserve"> </v>
      </c>
      <c r="L8" s="77" t="str">
        <f t="shared" si="4"/>
        <v xml:space="preserve"> </v>
      </c>
      <c r="M8" s="77" t="str">
        <f>IF($C8 = " "," ",'EEM4'!U$15)</f>
        <v xml:space="preserve"> </v>
      </c>
      <c r="N8" s="77" t="str">
        <f t="shared" si="5"/>
        <v xml:space="preserve"> </v>
      </c>
      <c r="O8" s="58" t="str">
        <f>IF($C8 = " "," ",'EEM4'!W$9)</f>
        <v xml:space="preserve"> </v>
      </c>
    </row>
    <row r="9" spans="2:15" x14ac:dyDescent="0.25">
      <c r="B9" s="7">
        <v>5</v>
      </c>
      <c r="C9" s="35" t="str">
        <f>IF('EEM5'!A21=0," ",'EEM5'!A21)</f>
        <v xml:space="preserve"> </v>
      </c>
      <c r="D9" s="44" t="str">
        <f t="shared" si="0"/>
        <v xml:space="preserve"> </v>
      </c>
      <c r="E9" s="40" t="str">
        <f>IF($C9 = " "," ",'EEM5'!F$18)</f>
        <v xml:space="preserve"> </v>
      </c>
      <c r="F9" s="84" t="str">
        <f t="shared" si="1"/>
        <v xml:space="preserve"> </v>
      </c>
      <c r="G9" s="84" t="str">
        <f>IF($C9 = " "," ",'EEM5'!V$9)</f>
        <v xml:space="preserve"> </v>
      </c>
      <c r="H9" s="84" t="str">
        <f t="shared" si="2"/>
        <v xml:space="preserve"> </v>
      </c>
      <c r="I9" s="84" t="str">
        <f>IF($C9 = " "," ",'EEM5'!U$11)</f>
        <v xml:space="preserve"> </v>
      </c>
      <c r="J9" s="84" t="str">
        <f t="shared" si="3"/>
        <v xml:space="preserve"> </v>
      </c>
      <c r="K9" s="84" t="str">
        <f>IF($C9 = " "," ",'EEM5'!U$13)</f>
        <v xml:space="preserve"> </v>
      </c>
      <c r="L9" s="77" t="str">
        <f t="shared" si="4"/>
        <v xml:space="preserve"> </v>
      </c>
      <c r="M9" s="77" t="str">
        <f>IF($C9 = " "," ",'EEM5'!U$15)</f>
        <v xml:space="preserve"> </v>
      </c>
      <c r="N9" s="77" t="str">
        <f t="shared" si="5"/>
        <v xml:space="preserve"> </v>
      </c>
      <c r="O9" s="58" t="str">
        <f>IF($C9 = " "," ",'EEM5'!W$9)</f>
        <v xml:space="preserve"> </v>
      </c>
    </row>
    <row r="10" spans="2:15" x14ac:dyDescent="0.25">
      <c r="B10" s="7">
        <v>6</v>
      </c>
      <c r="C10" s="35" t="str">
        <f>IF('EEM6'!A21=0," ",'EEM6'!A21)</f>
        <v xml:space="preserve"> </v>
      </c>
      <c r="D10" s="44" t="str">
        <f t="shared" si="0"/>
        <v xml:space="preserve"> </v>
      </c>
      <c r="E10" s="40" t="str">
        <f>IF($C10 = " "," ",'EEM6'!F$18)</f>
        <v xml:space="preserve"> </v>
      </c>
      <c r="F10" s="84" t="str">
        <f t="shared" si="1"/>
        <v xml:space="preserve"> </v>
      </c>
      <c r="G10" s="84" t="str">
        <f>IF($C10 = " "," ",'EEM6'!V$9)</f>
        <v xml:space="preserve"> </v>
      </c>
      <c r="H10" s="84" t="str">
        <f t="shared" si="2"/>
        <v xml:space="preserve"> </v>
      </c>
      <c r="I10" s="84" t="str">
        <f>IF($C10 = " "," ",'EEM6'!U$11)</f>
        <v xml:space="preserve"> </v>
      </c>
      <c r="J10" s="84" t="str">
        <f t="shared" si="3"/>
        <v xml:space="preserve"> </v>
      </c>
      <c r="K10" s="84" t="str">
        <f>IF($C10 = " "," ",'EEM6'!U$13)</f>
        <v xml:space="preserve"> </v>
      </c>
      <c r="L10" s="77" t="str">
        <f t="shared" si="4"/>
        <v xml:space="preserve"> </v>
      </c>
      <c r="M10" s="77" t="str">
        <f>IF($C10 = " "," ",'EEM6'!U$15)</f>
        <v xml:space="preserve"> </v>
      </c>
      <c r="N10" s="77" t="str">
        <f t="shared" si="5"/>
        <v xml:space="preserve"> </v>
      </c>
      <c r="O10" s="58" t="str">
        <f>IF($C10 = " "," ",'EEM6'!W$9)</f>
        <v xml:space="preserve"> </v>
      </c>
    </row>
    <row r="11" spans="2:15" x14ac:dyDescent="0.25">
      <c r="B11" s="7">
        <v>7</v>
      </c>
      <c r="C11" s="35" t="str">
        <f>IF('EEM7'!A21=0," ",'EEM7'!A21)</f>
        <v xml:space="preserve"> </v>
      </c>
      <c r="D11" s="44" t="str">
        <f t="shared" si="0"/>
        <v xml:space="preserve"> </v>
      </c>
      <c r="E11" s="40" t="str">
        <f>IF($C11 = " "," ",'EEM7'!F$18)</f>
        <v xml:space="preserve"> </v>
      </c>
      <c r="F11" s="84" t="str">
        <f t="shared" si="1"/>
        <v xml:space="preserve"> </v>
      </c>
      <c r="G11" s="84" t="str">
        <f>IF($C11 = " "," ",'EEM7'!V$9)</f>
        <v xml:space="preserve"> </v>
      </c>
      <c r="H11" s="84" t="str">
        <f t="shared" si="2"/>
        <v xml:space="preserve"> </v>
      </c>
      <c r="I11" s="84" t="str">
        <f>IF($C11 = " "," ",'EEM7'!U$11)</f>
        <v xml:space="preserve"> </v>
      </c>
      <c r="J11" s="84" t="str">
        <f t="shared" si="3"/>
        <v xml:space="preserve"> </v>
      </c>
      <c r="K11" s="84" t="str">
        <f>IF($C11 = " "," ",'EEM7'!U$13)</f>
        <v xml:space="preserve"> </v>
      </c>
      <c r="L11" s="77" t="str">
        <f t="shared" si="4"/>
        <v xml:space="preserve"> </v>
      </c>
      <c r="M11" s="77" t="str">
        <f>IF($C11 = " "," ",'EEM7'!U$15)</f>
        <v xml:space="preserve"> </v>
      </c>
      <c r="N11" s="77" t="str">
        <f t="shared" si="5"/>
        <v xml:space="preserve"> </v>
      </c>
      <c r="O11" s="58" t="str">
        <f>IF($C11 = " "," ",'EEM7'!W$9)</f>
        <v xml:space="preserve"> </v>
      </c>
    </row>
    <row r="12" spans="2:15" x14ac:dyDescent="0.25">
      <c r="B12" s="7">
        <v>8</v>
      </c>
      <c r="C12" s="35" t="str">
        <f>IF('EEM8'!A21=0," ",'EEM8'!A21)</f>
        <v xml:space="preserve"> </v>
      </c>
      <c r="D12" s="44" t="str">
        <f t="shared" si="0"/>
        <v xml:space="preserve"> </v>
      </c>
      <c r="E12" s="40" t="str">
        <f>IF($C12 = " "," ",'EEM8'!F$18)</f>
        <v xml:space="preserve"> </v>
      </c>
      <c r="F12" s="84" t="str">
        <f t="shared" si="1"/>
        <v xml:space="preserve"> </v>
      </c>
      <c r="G12" s="84" t="str">
        <f>IF($C12 = " "," ",'EEM8'!V$9)</f>
        <v xml:space="preserve"> </v>
      </c>
      <c r="H12" s="84" t="str">
        <f t="shared" si="2"/>
        <v xml:space="preserve"> </v>
      </c>
      <c r="I12" s="84" t="str">
        <f>IF($C12 = " "," ",'EEM8'!U$11)</f>
        <v xml:space="preserve"> </v>
      </c>
      <c r="J12" s="84" t="str">
        <f t="shared" si="3"/>
        <v xml:space="preserve"> </v>
      </c>
      <c r="K12" s="84" t="str">
        <f>IF($C12 = " "," ",'EEM8'!U$13)</f>
        <v xml:space="preserve"> </v>
      </c>
      <c r="L12" s="77" t="str">
        <f t="shared" si="4"/>
        <v xml:space="preserve"> </v>
      </c>
      <c r="M12" s="77" t="str">
        <f>IF($C12 = " "," ",'EEM8'!U$15)</f>
        <v xml:space="preserve"> </v>
      </c>
      <c r="N12" s="77" t="str">
        <f t="shared" si="5"/>
        <v xml:space="preserve"> </v>
      </c>
      <c r="O12" s="58" t="str">
        <f>IF($C12 = " "," ",'EEM8'!W$9)</f>
        <v xml:space="preserve"> </v>
      </c>
    </row>
    <row r="13" spans="2:15" x14ac:dyDescent="0.25">
      <c r="B13" s="7">
        <v>9</v>
      </c>
      <c r="C13" s="35" t="str">
        <f>IF('EEM9'!A21=0," ",'EEM9'!A21)</f>
        <v xml:space="preserve"> </v>
      </c>
      <c r="D13" s="44" t="str">
        <f t="shared" si="0"/>
        <v xml:space="preserve"> </v>
      </c>
      <c r="E13" s="40" t="str">
        <f>IF($C13 = " "," ",'EEM9'!F$18)</f>
        <v xml:space="preserve"> </v>
      </c>
      <c r="F13" s="84" t="str">
        <f t="shared" si="1"/>
        <v xml:space="preserve"> </v>
      </c>
      <c r="G13" s="84" t="str">
        <f>IF($C13 = " "," ",'EEM9'!V$9)</f>
        <v xml:space="preserve"> </v>
      </c>
      <c r="H13" s="84" t="str">
        <f t="shared" si="2"/>
        <v xml:space="preserve"> </v>
      </c>
      <c r="I13" s="84" t="str">
        <f>IF($C13 = " "," ",'EEM9'!U$11)</f>
        <v xml:space="preserve"> </v>
      </c>
      <c r="J13" s="84" t="str">
        <f t="shared" si="3"/>
        <v xml:space="preserve"> </v>
      </c>
      <c r="K13" s="84" t="str">
        <f>IF($C13 = " "," ",'EEM9'!U$13)</f>
        <v xml:space="preserve"> </v>
      </c>
      <c r="L13" s="77" t="str">
        <f t="shared" si="4"/>
        <v xml:space="preserve"> </v>
      </c>
      <c r="M13" s="77" t="str">
        <f>IF($C13 = " "," ",'EEM9'!U$15)</f>
        <v xml:space="preserve"> </v>
      </c>
      <c r="N13" s="77" t="str">
        <f t="shared" si="5"/>
        <v xml:space="preserve"> </v>
      </c>
      <c r="O13" s="58" t="str">
        <f>IF($C13 = " "," ",'EEM9'!W$9)</f>
        <v xml:space="preserve"> </v>
      </c>
    </row>
    <row r="14" spans="2:15" x14ac:dyDescent="0.25">
      <c r="B14" s="7">
        <v>10</v>
      </c>
      <c r="C14" s="35" t="str">
        <f>IF('EEM10'!A21=0," ",'EEM10'!A21)</f>
        <v xml:space="preserve"> </v>
      </c>
      <c r="D14" s="44" t="str">
        <f t="shared" si="0"/>
        <v xml:space="preserve"> </v>
      </c>
      <c r="E14" s="40" t="str">
        <f>IF($C14 = " "," ",'EEM10'!F$18)</f>
        <v xml:space="preserve"> </v>
      </c>
      <c r="F14" s="84" t="str">
        <f t="shared" si="1"/>
        <v xml:space="preserve"> </v>
      </c>
      <c r="G14" s="84" t="str">
        <f>IF($C14 = " "," ",'EEM10'!V$9)</f>
        <v xml:space="preserve"> </v>
      </c>
      <c r="H14" s="84" t="str">
        <f t="shared" si="2"/>
        <v xml:space="preserve"> </v>
      </c>
      <c r="I14" s="84" t="str">
        <f>IF($C14 = " "," ",'EEM10'!U$11)</f>
        <v xml:space="preserve"> </v>
      </c>
      <c r="J14" s="84" t="str">
        <f t="shared" si="3"/>
        <v xml:space="preserve"> </v>
      </c>
      <c r="K14" s="84" t="str">
        <f>IF($C14 = " "," ",'EEM10'!U$13)</f>
        <v xml:space="preserve"> </v>
      </c>
      <c r="L14" s="77" t="str">
        <f t="shared" si="4"/>
        <v xml:space="preserve"> </v>
      </c>
      <c r="M14" s="77" t="str">
        <f>IF($C14 = " "," ",'EEM10'!U$15)</f>
        <v xml:space="preserve"> </v>
      </c>
      <c r="N14" s="77" t="str">
        <f t="shared" si="5"/>
        <v xml:space="preserve"> </v>
      </c>
      <c r="O14" s="58" t="str">
        <f>IF($C14 = " "," ",'EEM10'!W$9)</f>
        <v xml:space="preserve"> </v>
      </c>
    </row>
    <row r="15" spans="2:15" x14ac:dyDescent="0.25">
      <c r="B15" s="7">
        <v>11</v>
      </c>
      <c r="C15" s="35" t="str">
        <f>IF('EEM11'!A21=0," ",'EEM11'!A21)</f>
        <v xml:space="preserve"> </v>
      </c>
      <c r="D15" s="44" t="str">
        <f t="shared" si="0"/>
        <v xml:space="preserve"> </v>
      </c>
      <c r="E15" s="40" t="str">
        <f>IF($C15 = " "," ",'EEM11'!F$18)</f>
        <v xml:space="preserve"> </v>
      </c>
      <c r="F15" s="84" t="str">
        <f t="shared" si="1"/>
        <v xml:space="preserve"> </v>
      </c>
      <c r="G15" s="84" t="str">
        <f>IF($C15 = " "," ",'EEM11'!V$9)</f>
        <v xml:space="preserve"> </v>
      </c>
      <c r="H15" s="84" t="str">
        <f t="shared" si="2"/>
        <v xml:space="preserve"> </v>
      </c>
      <c r="I15" s="84" t="str">
        <f>IF($C15 = " "," ",'EEM11'!U$11)</f>
        <v xml:space="preserve"> </v>
      </c>
      <c r="J15" s="84" t="str">
        <f t="shared" si="3"/>
        <v xml:space="preserve"> </v>
      </c>
      <c r="K15" s="84" t="str">
        <f>IF($C15 = " "," ",'EEM11'!U$13)</f>
        <v xml:space="preserve"> </v>
      </c>
      <c r="L15" s="77" t="str">
        <f t="shared" si="4"/>
        <v xml:space="preserve"> </v>
      </c>
      <c r="M15" s="77" t="str">
        <f>IF($C15 = " "," ",'EEM11'!U$15)</f>
        <v xml:space="preserve"> </v>
      </c>
      <c r="N15" s="77" t="str">
        <f t="shared" si="5"/>
        <v xml:space="preserve"> </v>
      </c>
      <c r="O15" s="58" t="str">
        <f>IF($C15 = " "," ",'EEM11'!W$9)</f>
        <v xml:space="preserve"> </v>
      </c>
    </row>
    <row r="16" spans="2:15" x14ac:dyDescent="0.25">
      <c r="B16" s="7">
        <v>12</v>
      </c>
      <c r="C16" s="35" t="str">
        <f>IF('EEM12'!A21=0," ",'EEM12'!A21)</f>
        <v xml:space="preserve"> </v>
      </c>
      <c r="D16" s="44" t="str">
        <f t="shared" si="0"/>
        <v xml:space="preserve"> </v>
      </c>
      <c r="E16" s="40" t="str">
        <f>IF($C16 = " "," ",'EEM12'!F$18)</f>
        <v xml:space="preserve"> </v>
      </c>
      <c r="F16" s="84" t="str">
        <f t="shared" si="1"/>
        <v xml:space="preserve"> </v>
      </c>
      <c r="G16" s="84" t="str">
        <f>IF($C16 = " "," ",'EEM12'!V$9)</f>
        <v xml:space="preserve"> </v>
      </c>
      <c r="H16" s="84" t="str">
        <f t="shared" si="2"/>
        <v xml:space="preserve"> </v>
      </c>
      <c r="I16" s="84" t="str">
        <f>IF($C16 = " "," ",'EEM12'!U$11)</f>
        <v xml:space="preserve"> </v>
      </c>
      <c r="J16" s="84" t="str">
        <f t="shared" si="3"/>
        <v xml:space="preserve"> </v>
      </c>
      <c r="K16" s="84" t="str">
        <f>IF($C16 = " "," ",'EEM12'!U$13)</f>
        <v xml:space="preserve"> </v>
      </c>
      <c r="L16" s="77" t="str">
        <f t="shared" si="4"/>
        <v xml:space="preserve"> </v>
      </c>
      <c r="M16" s="77" t="str">
        <f>IF($C16 = " "," ",'EEM12'!U$15)</f>
        <v xml:space="preserve"> </v>
      </c>
      <c r="N16" s="77" t="str">
        <f t="shared" si="5"/>
        <v xml:space="preserve"> </v>
      </c>
      <c r="O16" s="58" t="str">
        <f>IF($C16 = " "," ",'EEM12'!W$9)</f>
        <v xml:space="preserve"> </v>
      </c>
    </row>
    <row r="17" spans="2:17" x14ac:dyDescent="0.25">
      <c r="B17" s="7">
        <v>13</v>
      </c>
      <c r="C17" s="35" t="str">
        <f>IF('EEM13'!A21=0," ",'EEM13'!A21)</f>
        <v xml:space="preserve"> </v>
      </c>
      <c r="D17" s="44" t="str">
        <f t="shared" si="0"/>
        <v xml:space="preserve"> </v>
      </c>
      <c r="E17" s="40" t="str">
        <f>IF($C17 = " "," ",'EEM13'!F$18)</f>
        <v xml:space="preserve"> </v>
      </c>
      <c r="F17" s="84" t="str">
        <f t="shared" si="1"/>
        <v xml:space="preserve"> </v>
      </c>
      <c r="G17" s="84" t="str">
        <f>IF($C17 = " "," ",'EEM13'!V$9)</f>
        <v xml:space="preserve"> </v>
      </c>
      <c r="H17" s="84" t="str">
        <f t="shared" si="2"/>
        <v xml:space="preserve"> </v>
      </c>
      <c r="I17" s="84" t="str">
        <f>IF($C17 = " "," ",'EEM13'!U$11)</f>
        <v xml:space="preserve"> </v>
      </c>
      <c r="J17" s="84" t="str">
        <f t="shared" si="3"/>
        <v xml:space="preserve"> </v>
      </c>
      <c r="K17" s="84" t="str">
        <f>IF($C17 = " "," ",'EEM13'!U$13)</f>
        <v xml:space="preserve"> </v>
      </c>
      <c r="L17" s="77" t="str">
        <f t="shared" si="4"/>
        <v xml:space="preserve"> </v>
      </c>
      <c r="M17" s="77" t="str">
        <f>IF($C17 = " "," ",'EEM13'!U$15)</f>
        <v xml:space="preserve"> </v>
      </c>
      <c r="N17" s="77" t="str">
        <f t="shared" si="5"/>
        <v xml:space="preserve"> </v>
      </c>
      <c r="O17" s="58" t="str">
        <f>IF($C17 = " "," ",'EEM13'!W$9)</f>
        <v xml:space="preserve"> </v>
      </c>
    </row>
    <row r="18" spans="2:17" x14ac:dyDescent="0.25">
      <c r="B18" s="7">
        <v>14</v>
      </c>
      <c r="C18" s="35" t="str">
        <f>IF('EEM14'!A21=0," ",'EEM14'!A21)</f>
        <v xml:space="preserve"> </v>
      </c>
      <c r="D18" s="44" t="str">
        <f t="shared" si="0"/>
        <v xml:space="preserve"> </v>
      </c>
      <c r="E18" s="40" t="str">
        <f>IF($C18 = " "," ",'EEM14'!F$18)</f>
        <v xml:space="preserve"> </v>
      </c>
      <c r="F18" s="84" t="str">
        <f t="shared" si="1"/>
        <v xml:space="preserve"> </v>
      </c>
      <c r="G18" s="84" t="str">
        <f>IF($C18 = " "," ",'EEM14'!V$9)</f>
        <v xml:space="preserve"> </v>
      </c>
      <c r="H18" s="84" t="str">
        <f t="shared" si="2"/>
        <v xml:space="preserve"> </v>
      </c>
      <c r="I18" s="84" t="str">
        <f>IF($C18 = " "," ",'EEM14'!U$11)</f>
        <v xml:space="preserve"> </v>
      </c>
      <c r="J18" s="84" t="str">
        <f t="shared" si="3"/>
        <v xml:space="preserve"> </v>
      </c>
      <c r="K18" s="84" t="str">
        <f>IF($C18 = " "," ",'EEM14'!U$13)</f>
        <v xml:space="preserve"> </v>
      </c>
      <c r="L18" s="77" t="str">
        <f t="shared" si="4"/>
        <v xml:space="preserve"> </v>
      </c>
      <c r="M18" s="77" t="str">
        <f>IF($C18 = " "," ",'EEM14'!U$15)</f>
        <v xml:space="preserve"> </v>
      </c>
      <c r="N18" s="77" t="str">
        <f t="shared" si="5"/>
        <v xml:space="preserve"> </v>
      </c>
      <c r="O18" s="58" t="str">
        <f>IF($C18 = " "," ",'EEM14'!W$9)</f>
        <v xml:space="preserve"> </v>
      </c>
    </row>
    <row r="19" spans="2:17" ht="15.75" thickBot="1" x14ac:dyDescent="0.3">
      <c r="B19" s="8">
        <v>15</v>
      </c>
      <c r="C19" s="36" t="str">
        <f>IF('EEM15'!A21=0," ",'EEM15'!A21)</f>
        <v xml:space="preserve"> </v>
      </c>
      <c r="D19" s="45" t="str">
        <f t="shared" si="0"/>
        <v xml:space="preserve"> </v>
      </c>
      <c r="E19" s="41" t="str">
        <f>IF($C19 = " "," ",'EEM15'!F$18)</f>
        <v xml:space="preserve"> </v>
      </c>
      <c r="F19" s="85" t="str">
        <f t="shared" si="1"/>
        <v xml:space="preserve"> </v>
      </c>
      <c r="G19" s="85" t="str">
        <f>IF($C19 = " "," ",'EEM15'!V$9)</f>
        <v xml:space="preserve"> </v>
      </c>
      <c r="H19" s="85" t="str">
        <f t="shared" si="2"/>
        <v xml:space="preserve"> </v>
      </c>
      <c r="I19" s="85" t="str">
        <f>IF($C19 = " "," ",'EEM15'!U$11)</f>
        <v xml:space="preserve"> </v>
      </c>
      <c r="J19" s="85" t="str">
        <f t="shared" si="3"/>
        <v xml:space="preserve"> </v>
      </c>
      <c r="K19" s="85" t="str">
        <f>IF($C19 = " "," ",'EEM15'!U$13)</f>
        <v xml:space="preserve"> </v>
      </c>
      <c r="L19" s="86" t="str">
        <f t="shared" si="4"/>
        <v xml:space="preserve"> </v>
      </c>
      <c r="M19" s="86" t="str">
        <f>IF($C19 = " "," ",'EEM15'!U$15)</f>
        <v xml:space="preserve"> </v>
      </c>
      <c r="N19" s="86" t="str">
        <f t="shared" si="5"/>
        <v xml:space="preserve"> </v>
      </c>
      <c r="O19" s="87" t="str">
        <f>IF($C19 = " "," ",'EEM15'!W$9)</f>
        <v xml:space="preserve"> </v>
      </c>
    </row>
    <row r="21" spans="2:17" ht="15.75" thickBot="1" x14ac:dyDescent="0.3"/>
    <row r="22" spans="2:17" ht="27" thickBot="1" x14ac:dyDescent="0.45">
      <c r="C22" s="149" t="s">
        <v>100</v>
      </c>
      <c r="D22" s="150"/>
      <c r="E22" s="150"/>
      <c r="F22" s="150"/>
      <c r="G22" s="155"/>
      <c r="I22" s="149" t="s">
        <v>131</v>
      </c>
      <c r="J22" s="150"/>
      <c r="K22" s="150"/>
      <c r="L22" s="150"/>
      <c r="M22" s="150"/>
      <c r="N22" s="151"/>
    </row>
    <row r="23" spans="2:17" ht="45.75" thickBot="1" x14ac:dyDescent="0.3">
      <c r="C23" s="46" t="s">
        <v>97</v>
      </c>
      <c r="D23" s="153" t="s">
        <v>98</v>
      </c>
      <c r="E23" s="153"/>
      <c r="F23" s="153" t="s">
        <v>99</v>
      </c>
      <c r="G23" s="154"/>
      <c r="I23" s="156" t="s">
        <v>132</v>
      </c>
      <c r="J23" s="157"/>
      <c r="K23" s="69" t="s">
        <v>147</v>
      </c>
      <c r="L23" s="70" t="s">
        <v>148</v>
      </c>
      <c r="M23" s="71" t="s">
        <v>149</v>
      </c>
      <c r="N23" s="72" t="s">
        <v>155</v>
      </c>
    </row>
    <row r="24" spans="2:17" x14ac:dyDescent="0.25">
      <c r="C24" s="47" t="s">
        <v>101</v>
      </c>
      <c r="D24" s="140">
        <f>'Existing Building Baseline'!F18</f>
        <v>0</v>
      </c>
      <c r="E24" s="140"/>
      <c r="F24" s="140">
        <f>'Proposed Design'!F18</f>
        <v>0</v>
      </c>
      <c r="G24" s="141"/>
      <c r="I24" s="122" t="s">
        <v>133</v>
      </c>
      <c r="J24" s="123"/>
      <c r="K24" s="54" t="s">
        <v>21</v>
      </c>
      <c r="L24" s="57" cm="1">
        <f t="array" aca="1" ref="L24" ca="1">VLOOKUP($K24,'Calcs and References'!$A$2:$E$9,4)*INDIRECT(_xlfn.CONCAT("'Existing Building Baseline'!",ADDRESS(VLOOKUP(K24,'Existing Building Baseline'!$W$25:$X$32,2,FALSE),VLOOKUP(I24,'Existing Building Baseline'!$T$25:$U$38,2,FALSE))))</f>
        <v>0</v>
      </c>
      <c r="M24" s="73" cm="1">
        <f t="array" aca="1" ref="M24" ca="1">VLOOKUP($K24,'Calcs and References'!$A$2:$E$9,4)*INDIRECT(_xlfn.CONCAT("'Proposed Design'!",ADDRESS(VLOOKUP(K24,'Proposed Design'!$W$25:$X$32,2,FALSE),VLOOKUP(I24,'Proposed Design'!$T$25:$U$38,2,FALSE))))</f>
        <v>0</v>
      </c>
      <c r="N24" s="74" t="e">
        <f ca="1">(L24-M24)/(L$44-M$44)</f>
        <v>#DIV/0!</v>
      </c>
      <c r="Q24" s="94"/>
    </row>
    <row r="25" spans="2:17" x14ac:dyDescent="0.25">
      <c r="C25" s="48" t="s">
        <v>102</v>
      </c>
      <c r="D25" s="148"/>
      <c r="E25" s="148"/>
      <c r="F25" s="142">
        <f>D24-F24</f>
        <v>0</v>
      </c>
      <c r="G25" s="143"/>
      <c r="I25" s="122" t="s">
        <v>134</v>
      </c>
      <c r="J25" s="123"/>
      <c r="K25" s="54" t="s">
        <v>21</v>
      </c>
      <c r="L25" s="57" cm="1">
        <f t="array" aca="1" ref="L25" ca="1">VLOOKUP($K25,'Calcs and References'!$A$2:$E$9,4)*INDIRECT(_xlfn.CONCAT("'Existing Building Baseline'!",ADDRESS(VLOOKUP(K25,'Existing Building Baseline'!$W$25:$X$32,2,FALSE),VLOOKUP(I25,'Existing Building Baseline'!$T$25:$U$38,2,FALSE))))</f>
        <v>0</v>
      </c>
      <c r="M25" s="73" cm="1">
        <f t="array" aca="1" ref="M25" ca="1">VLOOKUP($K25,'Calcs and References'!$A$2:$E$9,4)*INDIRECT(_xlfn.CONCAT("'Proposed Design'!",ADDRESS(VLOOKUP(K25,'Proposed Design'!$W$25:$X$32,2,FALSE),VLOOKUP(I25,'Proposed Design'!$T$25:$U$38,2,FALSE))))</f>
        <v>0</v>
      </c>
      <c r="N25" s="74" t="e">
        <f t="shared" ref="N25:N35" ca="1" si="6">(L25-M25)/(L$44-M$44)</f>
        <v>#DIV/0!</v>
      </c>
      <c r="Q25" s="94"/>
    </row>
    <row r="26" spans="2:17" ht="15.75" thickBot="1" x14ac:dyDescent="0.3">
      <c r="C26" s="49" t="s">
        <v>103</v>
      </c>
      <c r="D26" s="137"/>
      <c r="E26" s="137"/>
      <c r="F26" s="144" t="e">
        <f>F25/D24</f>
        <v>#DIV/0!</v>
      </c>
      <c r="G26" s="145"/>
      <c r="I26" s="122" t="s">
        <v>135</v>
      </c>
      <c r="J26" s="123"/>
      <c r="K26" s="54" t="s">
        <v>21</v>
      </c>
      <c r="L26" s="57" cm="1">
        <f t="array" aca="1" ref="L26" ca="1">VLOOKUP($K26,'Calcs and References'!$A$2:$E$9,4)*INDIRECT(_xlfn.CONCAT("'Existing Building Baseline'!",ADDRESS(VLOOKUP(K26,'Existing Building Baseline'!$W$25:$X$32,2,FALSE),VLOOKUP(I26,'Existing Building Baseline'!$T$25:$U$38,2,FALSE))))</f>
        <v>0</v>
      </c>
      <c r="M26" s="73" cm="1">
        <f t="array" aca="1" ref="M26" ca="1">VLOOKUP($K26,'Calcs and References'!$A$2:$E$9,4)*INDIRECT(_xlfn.CONCAT("'Proposed Design'!",ADDRESS(VLOOKUP(K26,'Proposed Design'!$W$25:$X$32,2,FALSE),VLOOKUP(I26,'Proposed Design'!$T$25:$U$38,2,FALSE))))</f>
        <v>0</v>
      </c>
      <c r="N26" s="74" t="e">
        <f t="shared" ca="1" si="6"/>
        <v>#DIV/0!</v>
      </c>
      <c r="Q26" s="94"/>
    </row>
    <row r="27" spans="2:17" x14ac:dyDescent="0.25">
      <c r="C27" s="47" t="s">
        <v>104</v>
      </c>
      <c r="D27" s="146">
        <f>'Existing Building Baseline'!T11</f>
        <v>0</v>
      </c>
      <c r="E27" s="146"/>
      <c r="F27" s="146">
        <f>'Proposed Design'!T11</f>
        <v>0</v>
      </c>
      <c r="G27" s="147"/>
      <c r="I27" s="122" t="s">
        <v>136</v>
      </c>
      <c r="J27" s="123"/>
      <c r="K27" s="54" t="s">
        <v>21</v>
      </c>
      <c r="L27" s="57" cm="1">
        <f t="array" aca="1" ref="L27" ca="1">VLOOKUP($K27,'Calcs and References'!$A$2:$E$9,4)*INDIRECT(_xlfn.CONCAT("'Existing Building Baseline'!",ADDRESS(VLOOKUP(K27,'Existing Building Baseline'!$W$25:$X$32,2,FALSE),VLOOKUP(I27,'Existing Building Baseline'!$T$25:$U$38,2,FALSE))))</f>
        <v>0</v>
      </c>
      <c r="M27" s="73" cm="1">
        <f t="array" aca="1" ref="M27" ca="1">VLOOKUP($K27,'Calcs and References'!$A$2:$E$9,4)*INDIRECT(_xlfn.CONCAT("'Proposed Design'!",ADDRESS(VLOOKUP(K27,'Proposed Design'!$W$25:$X$32,2,FALSE),VLOOKUP(I27,'Proposed Design'!$T$25:$U$38,2,FALSE))))</f>
        <v>0</v>
      </c>
      <c r="N27" s="74" t="e">
        <f t="shared" ca="1" si="6"/>
        <v>#DIV/0!</v>
      </c>
      <c r="Q27" s="94"/>
    </row>
    <row r="28" spans="2:17" x14ac:dyDescent="0.25">
      <c r="C28" s="48" t="s">
        <v>105</v>
      </c>
      <c r="D28" s="136"/>
      <c r="E28" s="136"/>
      <c r="F28" s="138">
        <f>D27-F27</f>
        <v>0</v>
      </c>
      <c r="G28" s="139"/>
      <c r="I28" s="122" t="s">
        <v>140</v>
      </c>
      <c r="J28" s="123"/>
      <c r="K28" s="54" t="s">
        <v>21</v>
      </c>
      <c r="L28" s="57" cm="1">
        <f t="array" aca="1" ref="L28" ca="1">VLOOKUP($K28,'Calcs and References'!$A$2:$E$9,4)*INDIRECT(_xlfn.CONCAT("'Existing Building Baseline'!",ADDRESS(VLOOKUP(K28,'Existing Building Baseline'!$W$25:$X$32,2,FALSE),VLOOKUP(I28,'Existing Building Baseline'!$T$25:$U$38,2,FALSE))))</f>
        <v>0</v>
      </c>
      <c r="M28" s="73" cm="1">
        <f t="array" aca="1" ref="M28" ca="1">VLOOKUP($K28,'Calcs and References'!$A$2:$E$9,4)*INDIRECT(_xlfn.CONCAT("'Proposed Design'!",ADDRESS(VLOOKUP(K28,'Proposed Design'!$W$25:$X$32,2,FALSE),VLOOKUP(I28,'Proposed Design'!$T$25:$U$38,2,FALSE))))</f>
        <v>0</v>
      </c>
      <c r="N28" s="74" t="e">
        <f t="shared" ca="1" si="6"/>
        <v>#DIV/0!</v>
      </c>
      <c r="Q28" s="94"/>
    </row>
    <row r="29" spans="2:17" ht="15.75" thickBot="1" x14ac:dyDescent="0.3">
      <c r="C29" s="49" t="s">
        <v>106</v>
      </c>
      <c r="D29" s="137"/>
      <c r="E29" s="137"/>
      <c r="F29" s="133" t="e">
        <f>F28/D27</f>
        <v>#DIV/0!</v>
      </c>
      <c r="G29" s="134"/>
      <c r="I29" s="122" t="s">
        <v>137</v>
      </c>
      <c r="J29" s="123"/>
      <c r="K29" s="54" t="s">
        <v>22</v>
      </c>
      <c r="L29" s="57" cm="1">
        <f t="array" aca="1" ref="L29" ca="1">VLOOKUP($K29,'Calcs and References'!$A$2:$E$9,4)*INDIRECT(_xlfn.CONCAT("'Existing Building Baseline'!",ADDRESS(VLOOKUP(K29,'Existing Building Baseline'!$W$25:$X$32,2,FALSE),VLOOKUP(I29,'Existing Building Baseline'!$T$25:$U$38,2,FALSE))))</f>
        <v>0</v>
      </c>
      <c r="M29" s="73" cm="1">
        <f t="array" aca="1" ref="M29" ca="1">VLOOKUP($K29,'Calcs and References'!$A$2:$E$9,4)*INDIRECT(_xlfn.CONCAT("'Proposed Design'!",ADDRESS(VLOOKUP(K29,'Proposed Design'!$W$25:$X$32,2,FALSE),VLOOKUP(I29,'Proposed Design'!$T$25:$U$38,2,FALSE))))</f>
        <v>0</v>
      </c>
      <c r="N29" s="74" t="e">
        <f t="shared" ca="1" si="6"/>
        <v>#DIV/0!</v>
      </c>
      <c r="Q29" s="94"/>
    </row>
    <row r="30" spans="2:17" x14ac:dyDescent="0.25">
      <c r="C30" s="47" t="s">
        <v>107</v>
      </c>
      <c r="D30" s="130">
        <f>'Existing Building Baseline'!U13</f>
        <v>0</v>
      </c>
      <c r="E30" s="130"/>
      <c r="F30" s="130">
        <f>'Proposed Design'!U13</f>
        <v>0</v>
      </c>
      <c r="G30" s="135"/>
      <c r="I30" s="122" t="s">
        <v>137</v>
      </c>
      <c r="J30" s="123"/>
      <c r="K30" s="54" t="s">
        <v>21</v>
      </c>
      <c r="L30" s="57" cm="1">
        <f t="array" aca="1" ref="L30" ca="1">VLOOKUP($K30,'Calcs and References'!$A$2:$E$9,4)*INDIRECT(_xlfn.CONCAT("'Existing Building Baseline'!",ADDRESS(VLOOKUP(K30,'Existing Building Baseline'!$W$25:$X$32,2,FALSE),VLOOKUP(I30,'Existing Building Baseline'!$T$25:$U$38,2,FALSE))))</f>
        <v>0</v>
      </c>
      <c r="M30" s="73" cm="1">
        <f t="array" aca="1" ref="M30" ca="1">VLOOKUP($K30,'Calcs and References'!$A$2:$E$9,4)*INDIRECT(_xlfn.CONCAT("'Proposed Design'!",ADDRESS(VLOOKUP(K30,'Proposed Design'!$W$25:$X$32,2,FALSE),VLOOKUP(I30,'Proposed Design'!$T$25:$U$38,2,FALSE))))</f>
        <v>0</v>
      </c>
      <c r="N30" s="74" t="e">
        <f t="shared" ca="1" si="6"/>
        <v>#DIV/0!</v>
      </c>
      <c r="Q30" s="94"/>
    </row>
    <row r="31" spans="2:17" x14ac:dyDescent="0.25">
      <c r="C31" s="48" t="s">
        <v>108</v>
      </c>
      <c r="D31" s="136"/>
      <c r="E31" s="136"/>
      <c r="F31" s="131">
        <f>D30-F30</f>
        <v>0</v>
      </c>
      <c r="G31" s="132"/>
      <c r="I31" s="122" t="s">
        <v>138</v>
      </c>
      <c r="J31" s="123"/>
      <c r="K31" s="54" t="s">
        <v>22</v>
      </c>
      <c r="L31" s="57" cm="1">
        <f t="array" aca="1" ref="L31" ca="1">VLOOKUP($K31,'Calcs and References'!$A$2:$E$9,4)*INDIRECT(_xlfn.CONCAT("'Existing Building Baseline'!",ADDRESS(VLOOKUP(K31,'Existing Building Baseline'!$W$25:$X$32,2,FALSE),VLOOKUP(I31,'Existing Building Baseline'!$T$25:$U$38,2,FALSE))))</f>
        <v>0</v>
      </c>
      <c r="M31" s="73" cm="1">
        <f t="array" aca="1" ref="M31" ca="1">VLOOKUP($K31,'Calcs and References'!$A$2:$E$9,4)*INDIRECT(_xlfn.CONCAT("'Proposed Design'!",ADDRESS(VLOOKUP(K31,'Proposed Design'!$W$25:$X$32,2,FALSE),VLOOKUP(I31,'Proposed Design'!$T$25:$U$38,2,FALSE))))</f>
        <v>0</v>
      </c>
      <c r="N31" s="74" t="e">
        <f t="shared" ca="1" si="6"/>
        <v>#DIV/0!</v>
      </c>
      <c r="Q31" s="94"/>
    </row>
    <row r="32" spans="2:17" ht="15.75" thickBot="1" x14ac:dyDescent="0.3">
      <c r="C32" s="49" t="s">
        <v>109</v>
      </c>
      <c r="D32" s="137"/>
      <c r="E32" s="137"/>
      <c r="F32" s="133" t="e">
        <f>F31/D30</f>
        <v>#DIV/0!</v>
      </c>
      <c r="G32" s="134"/>
      <c r="I32" s="122" t="s">
        <v>138</v>
      </c>
      <c r="J32" s="123"/>
      <c r="K32" s="54" t="s">
        <v>21</v>
      </c>
      <c r="L32" s="57" cm="1">
        <f t="array" aca="1" ref="L32" ca="1">VLOOKUP($K32,'Calcs and References'!$A$2:$E$9,4)*INDIRECT(_xlfn.CONCAT("'Existing Building Baseline'!",ADDRESS(VLOOKUP(K32,'Existing Building Baseline'!$W$25:$X$32,2,FALSE),VLOOKUP(I32,'Existing Building Baseline'!$T$25:$U$38,2,FALSE))))</f>
        <v>0</v>
      </c>
      <c r="M32" s="73" cm="1">
        <f t="array" aca="1" ref="M32" ca="1">VLOOKUP($K32,'Calcs and References'!$A$2:$E$9,4)*INDIRECT(_xlfn.CONCAT("'Proposed Design'!",ADDRESS(VLOOKUP(K32,'Proposed Design'!$W$25:$X$32,2,FALSE),VLOOKUP(I32,'Proposed Design'!$T$25:$U$38,2,FALSE))))</f>
        <v>0</v>
      </c>
      <c r="N32" s="74" t="e">
        <f t="shared" ca="1" si="6"/>
        <v>#DIV/0!</v>
      </c>
      <c r="Q32" s="94"/>
    </row>
    <row r="33" spans="3:17" x14ac:dyDescent="0.25">
      <c r="C33" s="47" t="s">
        <v>119</v>
      </c>
      <c r="D33" s="130">
        <f>'Existing Building Baseline'!U15</f>
        <v>0</v>
      </c>
      <c r="E33" s="130"/>
      <c r="F33" s="130">
        <f>'Proposed Design'!U15</f>
        <v>0</v>
      </c>
      <c r="G33" s="135"/>
      <c r="I33" s="122" t="s">
        <v>139</v>
      </c>
      <c r="J33" s="123"/>
      <c r="K33" s="54" t="s">
        <v>22</v>
      </c>
      <c r="L33" s="57" cm="1">
        <f t="array" aca="1" ref="L33" ca="1">VLOOKUP($K33,'Calcs and References'!$A$2:$E$9,4)*INDIRECT(_xlfn.CONCAT("'Existing Building Baseline'!",ADDRESS(VLOOKUP(K33,'Existing Building Baseline'!$W$25:$X$32,2,FALSE),VLOOKUP(I33,'Existing Building Baseline'!$T$25:$U$38,2,FALSE))))</f>
        <v>0</v>
      </c>
      <c r="M33" s="73" cm="1">
        <f t="array" aca="1" ref="M33" ca="1">VLOOKUP($K33,'Calcs and References'!$A$2:$E$9,4)*INDIRECT(_xlfn.CONCAT("'Proposed Design'!",ADDRESS(VLOOKUP(K33,'Proposed Design'!$W$25:$X$32,2,FALSE),VLOOKUP(I33,'Proposed Design'!$T$25:$U$38,2,FALSE))))</f>
        <v>0</v>
      </c>
      <c r="N33" s="74" t="e">
        <f t="shared" ca="1" si="6"/>
        <v>#DIV/0!</v>
      </c>
      <c r="Q33" s="94"/>
    </row>
    <row r="34" spans="3:17" x14ac:dyDescent="0.25">
      <c r="C34" s="48" t="s">
        <v>121</v>
      </c>
      <c r="D34" s="136"/>
      <c r="E34" s="136"/>
      <c r="F34" s="131">
        <f>D33-F33</f>
        <v>0</v>
      </c>
      <c r="G34" s="132"/>
      <c r="I34" s="122" t="s">
        <v>139</v>
      </c>
      <c r="J34" s="123"/>
      <c r="K34" s="54" t="s">
        <v>21</v>
      </c>
      <c r="L34" s="57" cm="1">
        <f t="array" aca="1" ref="L34" ca="1">VLOOKUP($K34,'Calcs and References'!$A$2:$E$9,4)*INDIRECT(_xlfn.CONCAT("'Existing Building Baseline'!",ADDRESS(VLOOKUP(K34,'Existing Building Baseline'!$W$25:$X$32,2,FALSE),VLOOKUP(I34,'Existing Building Baseline'!$T$25:$U$38,2,FALSE))))</f>
        <v>0</v>
      </c>
      <c r="M34" s="73" cm="1">
        <f t="array" aca="1" ref="M34" ca="1">VLOOKUP($K34,'Calcs and References'!$A$2:$E$9,4)*INDIRECT(_xlfn.CONCAT("'Proposed Design'!",ADDRESS(VLOOKUP(K34,'Proposed Design'!$W$25:$X$32,2,FALSE),VLOOKUP(I34,'Proposed Design'!$T$25:$U$38,2,FALSE))))</f>
        <v>0</v>
      </c>
      <c r="N34" s="74" t="e">
        <f t="shared" ca="1" si="6"/>
        <v>#DIV/0!</v>
      </c>
      <c r="Q34" s="94"/>
    </row>
    <row r="35" spans="3:17" ht="15.75" thickBot="1" x14ac:dyDescent="0.3">
      <c r="C35" s="49" t="s">
        <v>120</v>
      </c>
      <c r="D35" s="137"/>
      <c r="E35" s="137"/>
      <c r="F35" s="133" t="e">
        <f>F34/D33</f>
        <v>#DIV/0!</v>
      </c>
      <c r="G35" s="134"/>
      <c r="I35" s="122" t="s">
        <v>141</v>
      </c>
      <c r="J35" s="123"/>
      <c r="K35" s="54" t="s">
        <v>21</v>
      </c>
      <c r="L35" s="57" cm="1">
        <f t="array" aca="1" ref="L35" ca="1">VLOOKUP($K35,'Calcs and References'!$A$2:$E$9,4)*INDIRECT(_xlfn.CONCAT("'Existing Building Baseline'!",ADDRESS(VLOOKUP(K35,'Existing Building Baseline'!$W$25:$X$32,2,FALSE),VLOOKUP(I35,'Existing Building Baseline'!$T$25:$U$38,2,FALSE))))</f>
        <v>0</v>
      </c>
      <c r="M35" s="73" cm="1">
        <f t="array" aca="1" ref="M35" ca="1">VLOOKUP($K35,'Calcs and References'!$A$2:$E$9,4)*INDIRECT(_xlfn.CONCAT("'Proposed Design'!",ADDRESS(VLOOKUP(K35,'Proposed Design'!$W$25:$X$32,2,FALSE),VLOOKUP(I35,'Proposed Design'!$T$25:$U$38,2,FALSE))))</f>
        <v>0</v>
      </c>
      <c r="N35" s="74" t="e">
        <f t="shared" ca="1" si="6"/>
        <v>#DIV/0!</v>
      </c>
      <c r="Q35" s="94"/>
    </row>
    <row r="36" spans="3:17" x14ac:dyDescent="0.25">
      <c r="C36" s="47" t="s">
        <v>110</v>
      </c>
      <c r="D36" s="130">
        <f>'Existing Building Baseline'!U11+'Existing Building Baseline'!U13+'Existing Building Baseline'!U15</f>
        <v>0</v>
      </c>
      <c r="E36" s="130"/>
      <c r="F36" s="130">
        <f>'Proposed Design'!U11+'Proposed Design'!U13+'Proposed Design'!U15</f>
        <v>0</v>
      </c>
      <c r="G36" s="135"/>
      <c r="I36" s="120" t="s">
        <v>169</v>
      </c>
      <c r="J36" s="121"/>
      <c r="K36" s="55" t="s">
        <v>21</v>
      </c>
      <c r="L36" s="57" cm="1">
        <f t="array" aca="1" ref="L36" ca="1">VLOOKUP($K36,'Calcs and References'!$A$2:$E$9,4)*INDIRECT(_xlfn.CONCAT("'Existing Building Baseline'!",ADDRESS(VLOOKUP(K36,'Existing Building Baseline'!$W$25:$X$32,2,FALSE),VLOOKUP(I36,'Existing Building Baseline'!$T$25:$U$38,2,FALSE))))</f>
        <v>0</v>
      </c>
      <c r="M36" s="73" cm="1">
        <f t="array" aca="1" ref="M36" ca="1">VLOOKUP($K36,'Calcs and References'!$A$2:$E$9,4)*INDIRECT(_xlfn.CONCAT("'Proposed Design'!",ADDRESS(VLOOKUP(K36,'Proposed Design'!$W$25:$X$32,2,FALSE),VLOOKUP(I36,'Proposed Design'!$T$25:$U$38,2,FALSE))))</f>
        <v>0</v>
      </c>
      <c r="N36" s="74" t="e">
        <f ca="1">IF(ISBLANK(M36)," ",(L36-M36)/(L$44-M$44))</f>
        <v>#DIV/0!</v>
      </c>
    </row>
    <row r="37" spans="3:17" x14ac:dyDescent="0.25">
      <c r="C37" s="48" t="s">
        <v>111</v>
      </c>
      <c r="D37" s="128"/>
      <c r="E37" s="128"/>
      <c r="F37" s="131" t="e">
        <f>1000*(D36-F36)/'Basic Info'!D24</f>
        <v>#DIV/0!</v>
      </c>
      <c r="G37" s="132"/>
      <c r="I37" s="120"/>
      <c r="J37" s="121"/>
      <c r="K37" s="55"/>
      <c r="L37" s="59"/>
      <c r="M37" s="73"/>
      <c r="N37" s="74" t="str">
        <f>IF(ISBLANK(M37)," ",(L37-M37)/(L$44-M$44))</f>
        <v xml:space="preserve"> </v>
      </c>
    </row>
    <row r="38" spans="3:17" ht="15.75" thickBot="1" x14ac:dyDescent="0.3">
      <c r="C38" s="49" t="s">
        <v>112</v>
      </c>
      <c r="D38" s="129"/>
      <c r="E38" s="129"/>
      <c r="F38" s="133" t="e">
        <f>(D36-F36)/D36</f>
        <v>#DIV/0!</v>
      </c>
      <c r="G38" s="134"/>
      <c r="I38" s="120"/>
      <c r="J38" s="121"/>
      <c r="K38" s="55"/>
      <c r="L38" s="59"/>
      <c r="M38" s="73"/>
      <c r="N38" s="74" t="str">
        <f t="shared" ref="N38:N43" si="7">IF(ISBLANK(M38)," ",(L38-M38)/(L$44-M$44))</f>
        <v xml:space="preserve"> </v>
      </c>
      <c r="Q38" s="93"/>
    </row>
    <row r="39" spans="3:17" x14ac:dyDescent="0.25">
      <c r="C39" s="47" t="s">
        <v>113</v>
      </c>
      <c r="D39" s="130">
        <f>'Existing Building Baseline'!V11+'Existing Building Baseline'!V13+'Existing Building Baseline'!V15</f>
        <v>0</v>
      </c>
      <c r="E39" s="130"/>
      <c r="F39" s="130">
        <f>'Proposed Design'!V11+'Proposed Design'!V13+'Proposed Design'!V15</f>
        <v>0</v>
      </c>
      <c r="G39" s="135"/>
      <c r="I39" s="120"/>
      <c r="J39" s="121"/>
      <c r="K39" s="55"/>
      <c r="L39" s="59"/>
      <c r="M39" s="73"/>
      <c r="N39" s="74" t="str">
        <f t="shared" si="7"/>
        <v xml:space="preserve"> </v>
      </c>
    </row>
    <row r="40" spans="3:17" x14ac:dyDescent="0.25">
      <c r="C40" s="48" t="s">
        <v>114</v>
      </c>
      <c r="D40" s="128"/>
      <c r="E40" s="128"/>
      <c r="F40" s="131" t="e">
        <f>1000*(D39-F39)/'Basic Info'!D24</f>
        <v>#DIV/0!</v>
      </c>
      <c r="G40" s="132"/>
      <c r="I40" s="120"/>
      <c r="J40" s="121"/>
      <c r="K40" s="55"/>
      <c r="L40" s="59"/>
      <c r="M40" s="73"/>
      <c r="N40" s="74" t="str">
        <f t="shared" si="7"/>
        <v xml:space="preserve"> </v>
      </c>
    </row>
    <row r="41" spans="3:17" ht="15.75" thickBot="1" x14ac:dyDescent="0.3">
      <c r="C41" s="49" t="s">
        <v>115</v>
      </c>
      <c r="D41" s="129"/>
      <c r="E41" s="129"/>
      <c r="F41" s="133" t="e">
        <f>(D39-F39)/D39</f>
        <v>#DIV/0!</v>
      </c>
      <c r="G41" s="134"/>
      <c r="I41" s="120"/>
      <c r="J41" s="121"/>
      <c r="K41" s="55"/>
      <c r="L41" s="59"/>
      <c r="M41" s="73"/>
      <c r="N41" s="74" t="str">
        <f t="shared" si="7"/>
        <v xml:space="preserve"> </v>
      </c>
    </row>
    <row r="42" spans="3:17" x14ac:dyDescent="0.25">
      <c r="C42" s="47" t="s">
        <v>116</v>
      </c>
      <c r="D42" s="130">
        <f>'Existing Building Baseline'!W9</f>
        <v>0</v>
      </c>
      <c r="E42" s="130"/>
      <c r="F42" s="130">
        <f>'Proposed Design'!W9</f>
        <v>0</v>
      </c>
      <c r="G42" s="135"/>
      <c r="I42" s="120"/>
      <c r="J42" s="121"/>
      <c r="K42" s="55"/>
      <c r="L42" s="59"/>
      <c r="M42" s="73"/>
      <c r="N42" s="74" t="str">
        <f t="shared" si="7"/>
        <v xml:space="preserve"> </v>
      </c>
    </row>
    <row r="43" spans="3:17" ht="15.75" thickBot="1" x14ac:dyDescent="0.3">
      <c r="C43" s="48" t="s">
        <v>117</v>
      </c>
      <c r="D43" s="128"/>
      <c r="E43" s="128"/>
      <c r="F43" s="131">
        <f>D42-F42</f>
        <v>0</v>
      </c>
      <c r="G43" s="132"/>
      <c r="I43" s="124"/>
      <c r="J43" s="125"/>
      <c r="K43" s="56"/>
      <c r="L43" s="60"/>
      <c r="M43" s="73"/>
      <c r="N43" s="75" t="str">
        <f t="shared" si="7"/>
        <v xml:space="preserve"> </v>
      </c>
    </row>
    <row r="44" spans="3:17" ht="15.75" thickBot="1" x14ac:dyDescent="0.3">
      <c r="C44" s="49" t="s">
        <v>118</v>
      </c>
      <c r="D44" s="137"/>
      <c r="E44" s="137"/>
      <c r="F44" s="133" t="e">
        <f>F43/D42</f>
        <v>#DIV/0!</v>
      </c>
      <c r="G44" s="134"/>
      <c r="I44" s="126" t="s">
        <v>14</v>
      </c>
      <c r="J44" s="127"/>
      <c r="K44" s="5" t="s">
        <v>146</v>
      </c>
      <c r="L44" s="61">
        <f ca="1">SUM(L24:L43)</f>
        <v>0</v>
      </c>
      <c r="M44" s="62">
        <f ca="1">SUM(M24:M43)</f>
        <v>0</v>
      </c>
      <c r="N44" s="76"/>
    </row>
  </sheetData>
  <mergeCells count="69">
    <mergeCell ref="I22:N22"/>
    <mergeCell ref="C2:O2"/>
    <mergeCell ref="D23:E23"/>
    <mergeCell ref="F23:G23"/>
    <mergeCell ref="C22:G22"/>
    <mergeCell ref="I23:J23"/>
    <mergeCell ref="D24:E24"/>
    <mergeCell ref="F24:G24"/>
    <mergeCell ref="F25:G25"/>
    <mergeCell ref="F26:G26"/>
    <mergeCell ref="F27:G27"/>
    <mergeCell ref="D25:E25"/>
    <mergeCell ref="D26:E26"/>
    <mergeCell ref="D27:E27"/>
    <mergeCell ref="D28:E28"/>
    <mergeCell ref="D29:E29"/>
    <mergeCell ref="D36:E36"/>
    <mergeCell ref="F41:G41"/>
    <mergeCell ref="F42:G42"/>
    <mergeCell ref="D30:E30"/>
    <mergeCell ref="F35:G35"/>
    <mergeCell ref="F36:G36"/>
    <mergeCell ref="F37:G37"/>
    <mergeCell ref="F38:G38"/>
    <mergeCell ref="F34:G34"/>
    <mergeCell ref="F33:G33"/>
    <mergeCell ref="F28:G28"/>
    <mergeCell ref="F29:G29"/>
    <mergeCell ref="F30:G30"/>
    <mergeCell ref="F31:G31"/>
    <mergeCell ref="F43:G43"/>
    <mergeCell ref="F44:G44"/>
    <mergeCell ref="F39:G39"/>
    <mergeCell ref="F40:G40"/>
    <mergeCell ref="D31:E31"/>
    <mergeCell ref="D32:E32"/>
    <mergeCell ref="D33:E33"/>
    <mergeCell ref="D34:E34"/>
    <mergeCell ref="D35:E35"/>
    <mergeCell ref="D43:E43"/>
    <mergeCell ref="D44:E44"/>
    <mergeCell ref="D41:E41"/>
    <mergeCell ref="D42:E42"/>
    <mergeCell ref="F32:G32"/>
    <mergeCell ref="I24:J24"/>
    <mergeCell ref="I25:J25"/>
    <mergeCell ref="I26:J26"/>
    <mergeCell ref="I27:J27"/>
    <mergeCell ref="I28:J28"/>
    <mergeCell ref="I29:J29"/>
    <mergeCell ref="D37:E37"/>
    <mergeCell ref="D38:E38"/>
    <mergeCell ref="D39:E39"/>
    <mergeCell ref="D40:E40"/>
    <mergeCell ref="I30:J30"/>
    <mergeCell ref="I31:J31"/>
    <mergeCell ref="I32:J32"/>
    <mergeCell ref="I33:J33"/>
    <mergeCell ref="I34:J34"/>
    <mergeCell ref="I42:J42"/>
    <mergeCell ref="I35:J35"/>
    <mergeCell ref="I43:J43"/>
    <mergeCell ref="I44:J44"/>
    <mergeCell ref="I36:J36"/>
    <mergeCell ref="I37:J37"/>
    <mergeCell ref="I38:J38"/>
    <mergeCell ref="I39:J39"/>
    <mergeCell ref="I40:J40"/>
    <mergeCell ref="I41:J41"/>
  </mergeCells>
  <conditionalFormatting sqref="D5:O19">
    <cfRule type="cellIs" dxfId="8" priority="1" operator="lessThan">
      <formula>0</formula>
    </cfRule>
  </conditionalFormatting>
  <conditionalFormatting sqref="I36:K43">
    <cfRule type="notContainsBlanks" dxfId="7" priority="4">
      <formula>LEN(TRIM(I36))&gt;0</formula>
    </cfRule>
  </conditionalFormatting>
  <conditionalFormatting sqref="L37:L43">
    <cfRule type="notContainsBlanks" dxfId="6" priority="5">
      <formula>LEN(TRIM(L37))&gt;0</formula>
    </cfRule>
  </conditionalFormatting>
  <conditionalFormatting sqref="M24:M43">
    <cfRule type="cellIs" dxfId="5" priority="6" operator="equal">
      <formula>$L24</formula>
    </cfRule>
    <cfRule type="cellIs" dxfId="4" priority="7" operator="greaterThan">
      <formula>$L24</formula>
    </cfRule>
    <cfRule type="cellIs" dxfId="3" priority="8" operator="lessThan">
      <formula>$L24</formula>
    </cfRule>
  </conditionalFormatting>
  <conditionalFormatting sqref="N24:N43">
    <cfRule type="containsBlanks" dxfId="2" priority="2" stopIfTrue="1">
      <formula>LEN(TRIM(N24))=0</formula>
    </cfRule>
    <cfRule type="cellIs" dxfId="1" priority="3" operator="lessThan">
      <formula>0</formula>
    </cfRule>
    <cfRule type="cellIs" dxfId="0" priority="9" operator="greaterThan">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5815DD7F-F6D7-4014-9AC7-63F9398882F4}">
          <x14:formula1>
            <xm:f>'Calcs and References'!$A$2:$A$9</xm:f>
          </x14:formula1>
          <xm:sqref>K24:K43</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37804-8357-4D2E-8A0D-032DB9283980}">
  <dimension ref="A1:W21"/>
  <sheetViews>
    <sheetView workbookViewId="0">
      <selection activeCell="P1" sqref="P1:P1048576"/>
    </sheetView>
  </sheetViews>
  <sheetFormatPr defaultRowHeight="15" x14ac:dyDescent="0.25"/>
  <cols>
    <col min="1" max="1" width="29.85546875" customWidth="1"/>
    <col min="2" max="2" width="18.7109375" customWidth="1"/>
    <col min="4" max="4" width="14.7109375" customWidth="1"/>
    <col min="16" max="16" width="2" hidden="1" customWidth="1"/>
    <col min="17" max="17" width="18.85546875" customWidth="1"/>
    <col min="19" max="19" width="9.140625" customWidth="1"/>
    <col min="20" max="20" width="13.42578125" customWidth="1"/>
    <col min="21" max="21" width="14.7109375" customWidth="1"/>
    <col min="22" max="22" width="11.28515625" customWidth="1"/>
    <col min="23" max="23" width="9.140625" customWidth="1"/>
  </cols>
  <sheetData>
    <row r="1" spans="1:23" x14ac:dyDescent="0.25">
      <c r="A1" t="s">
        <v>92</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cm="1">
        <f t="array" ref="S5:S8">VLOOKUP(B5:B8,'Calcs and References'!A2:E6,5)</f>
        <v>ELEC</v>
      </c>
      <c r="T5">
        <f>VLOOKUP(B5,'Calcs and References'!A$2:D$6,4)*O5</f>
        <v>0</v>
      </c>
      <c r="U5" t="e">
        <f>T5*1000/'Basic Info'!$D$22</f>
        <v>#DIV/0!</v>
      </c>
      <c r="V5" t="e">
        <f>U5*VLOOKUP(B5,'Calcs and References'!A$2:D$6,3)</f>
        <v>#DIV/0!</v>
      </c>
      <c r="W5">
        <f>VLOOKUP(B5,'Calcs and References'!A$2:E$6,2)*O5</f>
        <v>0</v>
      </c>
    </row>
    <row r="6" spans="1:23" x14ac:dyDescent="0.25">
      <c r="A6" s="1"/>
      <c r="B6" s="1" t="s">
        <v>22</v>
      </c>
      <c r="C6" s="1"/>
      <c r="D6" s="1"/>
      <c r="E6" s="1"/>
      <c r="F6" s="1"/>
      <c r="G6" s="1"/>
      <c r="H6" s="1"/>
      <c r="I6" s="1"/>
      <c r="J6" s="1"/>
      <c r="K6" s="1"/>
      <c r="L6" s="1"/>
      <c r="M6" s="1"/>
      <c r="N6" s="1"/>
      <c r="O6" s="1"/>
      <c r="P6">
        <f>SUM(C6:N6)</f>
        <v>0</v>
      </c>
      <c r="Q6" s="50" t="str">
        <f>IF(ABS(P6-O6)&lt;5," ","Sum not correct")</f>
        <v xml:space="preserve"> </v>
      </c>
      <c r="S6" t="str">
        <v>FF</v>
      </c>
      <c r="T6">
        <f>VLOOKUP(B6,'Calcs and References'!A$2:D$6,4)*O6</f>
        <v>0</v>
      </c>
      <c r="U6" t="e">
        <f>T6*1000/'Basic Info'!$D$22</f>
        <v>#DIV/0!</v>
      </c>
      <c r="V6" t="e">
        <f>U6*VLOOKUP(B6,'Calcs and References'!A$2:D$6,3)</f>
        <v>#DIV/0!</v>
      </c>
      <c r="W6">
        <f>VLOOKUP(B6,'Calcs and References'!A$2:E$6,2)*O6</f>
        <v>0</v>
      </c>
    </row>
    <row r="7" spans="1:23" x14ac:dyDescent="0.25">
      <c r="A7" s="1"/>
      <c r="B7" s="1"/>
      <c r="C7" s="1"/>
      <c r="D7" s="1"/>
      <c r="E7" s="1"/>
      <c r="F7" s="1"/>
      <c r="G7" s="1"/>
      <c r="H7" s="1"/>
      <c r="I7" s="1"/>
      <c r="J7" s="1"/>
      <c r="K7" s="1"/>
      <c r="L7" s="1"/>
      <c r="M7" s="1"/>
      <c r="N7" s="1"/>
      <c r="O7" s="1"/>
      <c r="P7">
        <f t="shared" ref="P7:P8" si="0">SUM(C7:N7)</f>
        <v>0</v>
      </c>
      <c r="Q7" s="50" t="str">
        <f>IF(ABS(P7-O7)&lt;5," ","Sum not correct")</f>
        <v xml:space="preserve"> </v>
      </c>
      <c r="S7" t="e">
        <v>#N/A</v>
      </c>
      <c r="T7" t="e">
        <f>VLOOKUP(B7,'Calcs and References'!A$2:D$6,4)*O7</f>
        <v>#N/A</v>
      </c>
      <c r="U7" t="e">
        <f>T7*1000/'Basic Info'!$D$22</f>
        <v>#N/A</v>
      </c>
      <c r="V7" t="e">
        <f>U7*VLOOKUP(B7,'Calcs and References'!A$2:D$6,3)</f>
        <v>#N/A</v>
      </c>
      <c r="W7" t="e">
        <f>VLOOKUP(B7,'Calcs and References'!A$2:E$6,2)*O7</f>
        <v>#N/A</v>
      </c>
    </row>
    <row r="8" spans="1:23" x14ac:dyDescent="0.25">
      <c r="A8" s="1"/>
      <c r="B8" s="1"/>
      <c r="C8" s="1"/>
      <c r="D8" s="1"/>
      <c r="E8" s="1"/>
      <c r="F8" s="1"/>
      <c r="G8" s="1"/>
      <c r="H8" s="1"/>
      <c r="I8" s="1"/>
      <c r="J8" s="1"/>
      <c r="K8" s="1"/>
      <c r="L8" s="1"/>
      <c r="M8" s="1"/>
      <c r="N8" s="1"/>
      <c r="O8" s="1"/>
      <c r="P8">
        <f t="shared" si="0"/>
        <v>0</v>
      </c>
      <c r="Q8" s="50" t="str">
        <f>IF(ABS(P8-O8)&lt;5," ","Sum not correct")</f>
        <v xml:space="preserve"> </v>
      </c>
      <c r="S8" t="e">
        <v>#N/A</v>
      </c>
      <c r="T8" t="e">
        <f>VLOOKUP(B8,'Calcs and References'!A$2:D$6,4)*O8</f>
        <v>#N/A</v>
      </c>
      <c r="U8" t="e">
        <f>T8*1000/'Basic Info'!$D$22</f>
        <v>#N/A</v>
      </c>
      <c r="V8" t="e">
        <f>U8*VLOOKUP(B8,'Calcs and References'!A$2:D$6,3)</f>
        <v>#N/A</v>
      </c>
      <c r="W8" t="e">
        <f>VLOOKUP(B8,'Calcs and References'!A$2:E$6,2)*O8</f>
        <v>#N/A</v>
      </c>
    </row>
    <row r="9" spans="1:23" x14ac:dyDescent="0.25">
      <c r="V9" t="e">
        <f>SUMIF(V5:V8,"&lt;&gt;#N/A")</f>
        <v>#DIV/0!</v>
      </c>
      <c r="W9">
        <f>SUMIF(W5:W8,"&lt;&gt;#N/A")</f>
        <v>0</v>
      </c>
    </row>
    <row r="10" spans="1:23" x14ac:dyDescent="0.25">
      <c r="T10" t="s">
        <v>69</v>
      </c>
      <c r="U10" t="s">
        <v>70</v>
      </c>
    </row>
    <row r="11" spans="1:23" x14ac:dyDescent="0.25">
      <c r="A11" t="s">
        <v>25</v>
      </c>
      <c r="T11">
        <f>SUMIF(_xlfn.ANCHORARRAY(S5),S2,O5:O8)</f>
        <v>0</v>
      </c>
      <c r="U11" s="27">
        <f>SUMIF(_xlfn.ANCHORARRAY(S5),S2,T5:T8)</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SUMIF(_xlfn.ANCHORARRAY(S5),T2,T5:T8)</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SUMIF(_xlfn.ANCHORARRAY(S5),U2,T5:T8)</f>
        <v>0</v>
      </c>
    </row>
    <row r="16" spans="1:23" x14ac:dyDescent="0.25">
      <c r="A16" s="1"/>
      <c r="B16" s="1"/>
      <c r="C16" s="1"/>
      <c r="D16" s="1"/>
      <c r="E16" s="1"/>
      <c r="F16" s="1"/>
      <c r="G16" s="1"/>
      <c r="H16" s="1"/>
    </row>
    <row r="17" spans="1:8" ht="30" x14ac:dyDescent="0.25">
      <c r="F17" s="3" t="s">
        <v>32</v>
      </c>
      <c r="G17" s="4" t="s">
        <v>23</v>
      </c>
      <c r="H17" s="4"/>
    </row>
    <row r="18" spans="1:8" x14ac:dyDescent="0.25">
      <c r="F18" s="1"/>
      <c r="G18" s="167" t="str">
        <f>IF(ABS(F13+F14+F15+F16-F18)&lt;5," ","Sum not correct")</f>
        <v xml:space="preserve"> </v>
      </c>
      <c r="H18" s="168"/>
    </row>
    <row r="20" spans="1:8" x14ac:dyDescent="0.25">
      <c r="A20" s="2" t="s">
        <v>37</v>
      </c>
    </row>
    <row r="21" spans="1:8" x14ac:dyDescent="0.25">
      <c r="A21" s="169"/>
      <c r="B21" s="169"/>
      <c r="C21" s="169"/>
      <c r="D21" s="169"/>
    </row>
  </sheetData>
  <mergeCells count="2">
    <mergeCell ref="A21:D2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DAAD790-E3F1-41B5-9750-18042C3BC584}">
          <x14:formula1>
            <xm:f>'Calcs and References'!$A$2:$A$9</xm:f>
          </x14:formula1>
          <xm:sqref>B13:B16 B5:B8</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01D24-5250-46C6-A3EF-92D120A4D582}">
  <dimension ref="A1:W21"/>
  <sheetViews>
    <sheetView workbookViewId="0">
      <selection activeCell="P1" sqref="P1:P1048576"/>
    </sheetView>
  </sheetViews>
  <sheetFormatPr defaultRowHeight="15" x14ac:dyDescent="0.25"/>
  <cols>
    <col min="1" max="1" width="29.85546875" customWidth="1"/>
    <col min="2" max="2" width="18.7109375" customWidth="1"/>
    <col min="4" max="4" width="14.7109375" customWidth="1"/>
    <col min="16" max="16" width="2" hidden="1" customWidth="1"/>
    <col min="17" max="17" width="18.85546875" customWidth="1"/>
    <col min="19" max="19" width="9.140625" customWidth="1"/>
    <col min="20" max="20" width="13.42578125" customWidth="1"/>
    <col min="21" max="21" width="14.7109375" customWidth="1"/>
    <col min="22" max="22" width="11.28515625" customWidth="1"/>
    <col min="23" max="23" width="9.140625" customWidth="1"/>
  </cols>
  <sheetData>
    <row r="1" spans="1:23" x14ac:dyDescent="0.25">
      <c r="A1" t="s">
        <v>93</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cm="1">
        <f t="array" ref="S5:S8">VLOOKUP(B5:B8,'Calcs and References'!A2:E6,5)</f>
        <v>ELEC</v>
      </c>
      <c r="T5">
        <f>VLOOKUP(B5,'Calcs and References'!A$2:D$6,4)*O5</f>
        <v>0</v>
      </c>
      <c r="U5" t="e">
        <f>T5*1000/'Basic Info'!$D$22</f>
        <v>#DIV/0!</v>
      </c>
      <c r="V5" t="e">
        <f>U5*VLOOKUP(B5,'Calcs and References'!A$2:D$6,3)</f>
        <v>#DIV/0!</v>
      </c>
      <c r="W5">
        <f>VLOOKUP(B5,'Calcs and References'!A$2:E$6,2)*O5</f>
        <v>0</v>
      </c>
    </row>
    <row r="6" spans="1:23" x14ac:dyDescent="0.25">
      <c r="A6" s="1"/>
      <c r="B6" s="1" t="s">
        <v>22</v>
      </c>
      <c r="C6" s="1"/>
      <c r="D6" s="1"/>
      <c r="E6" s="1"/>
      <c r="F6" s="1"/>
      <c r="G6" s="1"/>
      <c r="H6" s="1"/>
      <c r="I6" s="1"/>
      <c r="J6" s="1"/>
      <c r="K6" s="1"/>
      <c r="L6" s="1"/>
      <c r="M6" s="1"/>
      <c r="N6" s="1"/>
      <c r="O6" s="1"/>
      <c r="P6">
        <f>SUM(C6:N6)</f>
        <v>0</v>
      </c>
      <c r="Q6" s="50" t="str">
        <f>IF(ABS(P6-O6)&lt;5," ","Sum not correct")</f>
        <v xml:space="preserve"> </v>
      </c>
      <c r="S6" t="str">
        <v>FF</v>
      </c>
      <c r="T6">
        <f>VLOOKUP(B6,'Calcs and References'!A$2:D$6,4)*O6</f>
        <v>0</v>
      </c>
      <c r="U6" t="e">
        <f>T6*1000/'Basic Info'!$D$22</f>
        <v>#DIV/0!</v>
      </c>
      <c r="V6" t="e">
        <f>U6*VLOOKUP(B6,'Calcs and References'!A$2:D$6,3)</f>
        <v>#DIV/0!</v>
      </c>
      <c r="W6">
        <f>VLOOKUP(B6,'Calcs and References'!A$2:E$6,2)*O6</f>
        <v>0</v>
      </c>
    </row>
    <row r="7" spans="1:23" x14ac:dyDescent="0.25">
      <c r="A7" s="1"/>
      <c r="B7" s="1"/>
      <c r="C7" s="1"/>
      <c r="D7" s="1"/>
      <c r="E7" s="1"/>
      <c r="F7" s="1"/>
      <c r="G7" s="1"/>
      <c r="H7" s="1"/>
      <c r="I7" s="1"/>
      <c r="J7" s="1"/>
      <c r="K7" s="1"/>
      <c r="L7" s="1"/>
      <c r="M7" s="1"/>
      <c r="N7" s="1"/>
      <c r="O7" s="1"/>
      <c r="P7">
        <f t="shared" ref="P7:P8" si="0">SUM(C7:N7)</f>
        <v>0</v>
      </c>
      <c r="Q7" s="50" t="str">
        <f>IF(ABS(P7-O7)&lt;5," ","Sum not correct")</f>
        <v xml:space="preserve"> </v>
      </c>
      <c r="S7" t="e">
        <v>#N/A</v>
      </c>
      <c r="T7" t="e">
        <f>VLOOKUP(B7,'Calcs and References'!A$2:D$6,4)*O7</f>
        <v>#N/A</v>
      </c>
      <c r="U7" t="e">
        <f>T7*1000/'Basic Info'!$D$22</f>
        <v>#N/A</v>
      </c>
      <c r="V7" t="e">
        <f>U7*VLOOKUP(B7,'Calcs and References'!A$2:D$6,3)</f>
        <v>#N/A</v>
      </c>
      <c r="W7" t="e">
        <f>VLOOKUP(B7,'Calcs and References'!A$2:E$6,2)*O7</f>
        <v>#N/A</v>
      </c>
    </row>
    <row r="8" spans="1:23" x14ac:dyDescent="0.25">
      <c r="A8" s="1"/>
      <c r="B8" s="1"/>
      <c r="C8" s="1"/>
      <c r="D8" s="1"/>
      <c r="E8" s="1"/>
      <c r="F8" s="1"/>
      <c r="G8" s="1"/>
      <c r="H8" s="1"/>
      <c r="I8" s="1"/>
      <c r="J8" s="1"/>
      <c r="K8" s="1"/>
      <c r="L8" s="1"/>
      <c r="M8" s="1"/>
      <c r="N8" s="1"/>
      <c r="O8" s="1"/>
      <c r="P8">
        <f t="shared" si="0"/>
        <v>0</v>
      </c>
      <c r="Q8" s="50" t="str">
        <f>IF(ABS(P8-O8)&lt;5," ","Sum not correct")</f>
        <v xml:space="preserve"> </v>
      </c>
      <c r="S8" t="e">
        <v>#N/A</v>
      </c>
      <c r="T8" t="e">
        <f>VLOOKUP(B8,'Calcs and References'!A$2:D$6,4)*O8</f>
        <v>#N/A</v>
      </c>
      <c r="U8" t="e">
        <f>T8*1000/'Basic Info'!$D$22</f>
        <v>#N/A</v>
      </c>
      <c r="V8" t="e">
        <f>U8*VLOOKUP(B8,'Calcs and References'!A$2:D$6,3)</f>
        <v>#N/A</v>
      </c>
      <c r="W8" t="e">
        <f>VLOOKUP(B8,'Calcs and References'!A$2:E$6,2)*O8</f>
        <v>#N/A</v>
      </c>
    </row>
    <row r="9" spans="1:23" x14ac:dyDescent="0.25">
      <c r="V9" t="e">
        <f>SUMIF(V5:V8,"&lt;&gt;#N/A")</f>
        <v>#DIV/0!</v>
      </c>
      <c r="W9">
        <f>SUMIF(W5:W8,"&lt;&gt;#N/A")</f>
        <v>0</v>
      </c>
    </row>
    <row r="10" spans="1:23" x14ac:dyDescent="0.25">
      <c r="T10" t="s">
        <v>69</v>
      </c>
      <c r="U10" t="s">
        <v>70</v>
      </c>
    </row>
    <row r="11" spans="1:23" x14ac:dyDescent="0.25">
      <c r="A11" t="s">
        <v>25</v>
      </c>
      <c r="T11">
        <f>SUMIF(_xlfn.ANCHORARRAY(S5),S2,O5:O8)</f>
        <v>0</v>
      </c>
      <c r="U11" s="27">
        <f>SUMIF(_xlfn.ANCHORARRAY(S5),S2,T5:T8)</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SUMIF(_xlfn.ANCHORARRAY(S5),T2,T5:T8)</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SUMIF(_xlfn.ANCHORARRAY(S5),U2,T5:T8)</f>
        <v>0</v>
      </c>
    </row>
    <row r="16" spans="1:23" x14ac:dyDescent="0.25">
      <c r="A16" s="1"/>
      <c r="B16" s="1"/>
      <c r="C16" s="1"/>
      <c r="D16" s="1"/>
      <c r="E16" s="1"/>
      <c r="F16" s="1"/>
      <c r="G16" s="1"/>
      <c r="H16" s="1"/>
    </row>
    <row r="17" spans="1:8" ht="30" x14ac:dyDescent="0.25">
      <c r="F17" s="3" t="s">
        <v>32</v>
      </c>
      <c r="G17" s="4" t="s">
        <v>23</v>
      </c>
      <c r="H17" s="4"/>
    </row>
    <row r="18" spans="1:8" x14ac:dyDescent="0.25">
      <c r="F18" s="1"/>
      <c r="G18" s="167" t="str">
        <f>IF(ABS(F13+F14+F15+F16-F18)&lt;5," ","Sum not correct")</f>
        <v xml:space="preserve"> </v>
      </c>
      <c r="H18" s="168"/>
    </row>
    <row r="20" spans="1:8" x14ac:dyDescent="0.25">
      <c r="A20" s="2" t="s">
        <v>37</v>
      </c>
    </row>
    <row r="21" spans="1:8" x14ac:dyDescent="0.25">
      <c r="A21" s="169"/>
      <c r="B21" s="169"/>
      <c r="C21" s="169"/>
      <c r="D21" s="169"/>
    </row>
  </sheetData>
  <mergeCells count="2">
    <mergeCell ref="A21:D2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45AC7BF-D4DD-466D-9A58-3AF1929C446E}">
          <x14:formula1>
            <xm:f>'Calcs and References'!$A$2:$A$9</xm:f>
          </x14:formula1>
          <xm:sqref>B13:B16 B5:B8</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2F302-0408-496F-B62B-7147B4CD511A}">
  <dimension ref="A1:W21"/>
  <sheetViews>
    <sheetView workbookViewId="0">
      <selection activeCell="N22" sqref="N22"/>
    </sheetView>
  </sheetViews>
  <sheetFormatPr defaultRowHeight="15" x14ac:dyDescent="0.25"/>
  <cols>
    <col min="1" max="1" width="29.85546875" customWidth="1"/>
    <col min="2" max="2" width="18.7109375" customWidth="1"/>
    <col min="4" max="4" width="14.7109375" customWidth="1"/>
    <col min="16" max="16" width="2" hidden="1" customWidth="1"/>
    <col min="17" max="17" width="18.85546875" customWidth="1"/>
    <col min="19" max="19" width="9.140625" customWidth="1"/>
    <col min="20" max="20" width="13.42578125" customWidth="1"/>
    <col min="21" max="21" width="14.7109375" customWidth="1"/>
    <col min="22" max="22" width="11.28515625" customWidth="1"/>
    <col min="23" max="23" width="9.140625" customWidth="1"/>
  </cols>
  <sheetData>
    <row r="1" spans="1:23" x14ac:dyDescent="0.25">
      <c r="A1" t="s">
        <v>94</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cm="1">
        <f t="array" ref="S5:S8">VLOOKUP(B5:B8,'Calcs and References'!A2:E6,5)</f>
        <v>ELEC</v>
      </c>
      <c r="T5">
        <f>VLOOKUP(B5,'Calcs and References'!A$2:D$6,4)*O5</f>
        <v>0</v>
      </c>
      <c r="U5" t="e">
        <f>T5*1000/'Basic Info'!$D$22</f>
        <v>#DIV/0!</v>
      </c>
      <c r="V5" t="e">
        <f>U5*VLOOKUP(B5,'Calcs and References'!A$2:D$6,3)</f>
        <v>#DIV/0!</v>
      </c>
      <c r="W5">
        <f>VLOOKUP(B5,'Calcs and References'!A$2:E$6,2)*O5</f>
        <v>0</v>
      </c>
    </row>
    <row r="6" spans="1:23" x14ac:dyDescent="0.25">
      <c r="A6" s="1"/>
      <c r="B6" s="1" t="s">
        <v>22</v>
      </c>
      <c r="C6" s="1"/>
      <c r="D6" s="1"/>
      <c r="E6" s="1"/>
      <c r="F6" s="1"/>
      <c r="G6" s="1"/>
      <c r="H6" s="1"/>
      <c r="I6" s="1"/>
      <c r="J6" s="1"/>
      <c r="K6" s="1"/>
      <c r="L6" s="1"/>
      <c r="M6" s="1"/>
      <c r="N6" s="1"/>
      <c r="O6" s="1"/>
      <c r="P6">
        <f>SUM(C6:N6)</f>
        <v>0</v>
      </c>
      <c r="Q6" s="50" t="str">
        <f>IF(ABS(P6-O6)&lt;5," ","Sum not correct")</f>
        <v xml:space="preserve"> </v>
      </c>
      <c r="S6" t="str">
        <v>FF</v>
      </c>
      <c r="T6">
        <f>VLOOKUP(B6,'Calcs and References'!A$2:D$6,4)*O6</f>
        <v>0</v>
      </c>
      <c r="U6" t="e">
        <f>T6*1000/'Basic Info'!$D$22</f>
        <v>#DIV/0!</v>
      </c>
      <c r="V6" t="e">
        <f>U6*VLOOKUP(B6,'Calcs and References'!A$2:D$6,3)</f>
        <v>#DIV/0!</v>
      </c>
      <c r="W6">
        <f>VLOOKUP(B6,'Calcs and References'!A$2:E$6,2)*O6</f>
        <v>0</v>
      </c>
    </row>
    <row r="7" spans="1:23" x14ac:dyDescent="0.25">
      <c r="A7" s="1"/>
      <c r="B7" s="1"/>
      <c r="C7" s="1"/>
      <c r="D7" s="1"/>
      <c r="E7" s="1"/>
      <c r="F7" s="1"/>
      <c r="G7" s="1"/>
      <c r="H7" s="1"/>
      <c r="I7" s="1"/>
      <c r="J7" s="1"/>
      <c r="K7" s="1"/>
      <c r="L7" s="1"/>
      <c r="M7" s="1"/>
      <c r="N7" s="1"/>
      <c r="O7" s="1"/>
      <c r="P7">
        <f t="shared" ref="P7:P8" si="0">SUM(C7:N7)</f>
        <v>0</v>
      </c>
      <c r="Q7" s="50" t="str">
        <f>IF(ABS(P7-O7)&lt;5," ","Sum not correct")</f>
        <v xml:space="preserve"> </v>
      </c>
      <c r="S7" t="e">
        <v>#N/A</v>
      </c>
      <c r="T7" t="e">
        <f>VLOOKUP(B7,'Calcs and References'!A$2:D$6,4)*O7</f>
        <v>#N/A</v>
      </c>
      <c r="U7" t="e">
        <f>T7*1000/'Basic Info'!$D$22</f>
        <v>#N/A</v>
      </c>
      <c r="V7" t="e">
        <f>U7*VLOOKUP(B7,'Calcs and References'!A$2:D$6,3)</f>
        <v>#N/A</v>
      </c>
      <c r="W7" t="e">
        <f>VLOOKUP(B7,'Calcs and References'!A$2:E$6,2)*O7</f>
        <v>#N/A</v>
      </c>
    </row>
    <row r="8" spans="1:23" x14ac:dyDescent="0.25">
      <c r="A8" s="1"/>
      <c r="B8" s="1"/>
      <c r="C8" s="1"/>
      <c r="D8" s="1"/>
      <c r="E8" s="1"/>
      <c r="F8" s="1"/>
      <c r="G8" s="1"/>
      <c r="H8" s="1"/>
      <c r="I8" s="1"/>
      <c r="J8" s="1"/>
      <c r="K8" s="1"/>
      <c r="L8" s="1"/>
      <c r="M8" s="1"/>
      <c r="N8" s="1"/>
      <c r="O8" s="1"/>
      <c r="P8">
        <f t="shared" si="0"/>
        <v>0</v>
      </c>
      <c r="Q8" s="50" t="str">
        <f>IF(ABS(P8-O8)&lt;5," ","Sum not correct")</f>
        <v xml:space="preserve"> </v>
      </c>
      <c r="S8" t="e">
        <v>#N/A</v>
      </c>
      <c r="T8" t="e">
        <f>VLOOKUP(B8,'Calcs and References'!A$2:D$6,4)*O8</f>
        <v>#N/A</v>
      </c>
      <c r="U8" t="e">
        <f>T8*1000/'Basic Info'!$D$22</f>
        <v>#N/A</v>
      </c>
      <c r="V8" t="e">
        <f>U8*VLOOKUP(B8,'Calcs and References'!A$2:D$6,3)</f>
        <v>#N/A</v>
      </c>
      <c r="W8" t="e">
        <f>VLOOKUP(B8,'Calcs and References'!A$2:E$6,2)*O8</f>
        <v>#N/A</v>
      </c>
    </row>
    <row r="9" spans="1:23" x14ac:dyDescent="0.25">
      <c r="V9" t="e">
        <f>SUMIF(V5:V8,"&lt;&gt;#N/A")</f>
        <v>#DIV/0!</v>
      </c>
      <c r="W9">
        <f>SUMIF(W5:W8,"&lt;&gt;#N/A")</f>
        <v>0</v>
      </c>
    </row>
    <row r="10" spans="1:23" x14ac:dyDescent="0.25">
      <c r="T10" t="s">
        <v>69</v>
      </c>
      <c r="U10" t="s">
        <v>70</v>
      </c>
    </row>
    <row r="11" spans="1:23" x14ac:dyDescent="0.25">
      <c r="A11" t="s">
        <v>25</v>
      </c>
      <c r="T11">
        <f>SUMIF(_xlfn.ANCHORARRAY(S5),S2,O5:O8)</f>
        <v>0</v>
      </c>
      <c r="U11" s="27">
        <f>SUMIF(_xlfn.ANCHORARRAY(S5),S2,T5:T8)</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SUMIF(_xlfn.ANCHORARRAY(S5),T2,T5:T8)</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SUMIF(_xlfn.ANCHORARRAY(S5),U2,T5:T8)</f>
        <v>0</v>
      </c>
    </row>
    <row r="16" spans="1:23" x14ac:dyDescent="0.25">
      <c r="A16" s="1"/>
      <c r="B16" s="1"/>
      <c r="C16" s="1"/>
      <c r="D16" s="1"/>
      <c r="E16" s="1"/>
      <c r="F16" s="1"/>
      <c r="G16" s="1"/>
      <c r="H16" s="1"/>
    </row>
    <row r="17" spans="1:8" ht="30" x14ac:dyDescent="0.25">
      <c r="F17" s="3" t="s">
        <v>32</v>
      </c>
      <c r="G17" s="4" t="s">
        <v>23</v>
      </c>
      <c r="H17" s="4"/>
    </row>
    <row r="18" spans="1:8" x14ac:dyDescent="0.25">
      <c r="F18" s="1"/>
      <c r="G18" s="167" t="str">
        <f>IF(ABS(F13+F14+F15+F16-F18)&lt;5," ","Sum not correct")</f>
        <v xml:space="preserve"> </v>
      </c>
      <c r="H18" s="168"/>
    </row>
    <row r="20" spans="1:8" x14ac:dyDescent="0.25">
      <c r="A20" s="2" t="s">
        <v>37</v>
      </c>
    </row>
    <row r="21" spans="1:8" x14ac:dyDescent="0.25">
      <c r="A21" s="169"/>
      <c r="B21" s="169"/>
      <c r="C21" s="169"/>
      <c r="D21" s="169"/>
    </row>
  </sheetData>
  <mergeCells count="2">
    <mergeCell ref="A21:D2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B5FAD05-8E2F-479C-83D5-3180E57C9E47}">
          <x14:formula1>
            <xm:f>'Calcs and References'!$A$2:$A$9</xm:f>
          </x14:formula1>
          <xm:sqref>B13:B16 B5:B8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1F216-87EE-45D4-8C3C-5A6B79234DF0}">
  <dimension ref="B1:M20"/>
  <sheetViews>
    <sheetView workbookViewId="0">
      <selection activeCell="E3" sqref="E3"/>
    </sheetView>
  </sheetViews>
  <sheetFormatPr defaultRowHeight="15" x14ac:dyDescent="0.25"/>
  <cols>
    <col min="2" max="2" width="17.140625" customWidth="1"/>
    <col min="3" max="3" width="15.5703125" customWidth="1"/>
    <col min="4" max="4" width="17.42578125" customWidth="1"/>
    <col min="5" max="5" width="16" customWidth="1"/>
    <col min="6" max="6" width="18.42578125" customWidth="1"/>
    <col min="7" max="7" width="15.28515625" customWidth="1"/>
    <col min="8" max="9" width="16.28515625" customWidth="1"/>
    <col min="10" max="10" width="16" customWidth="1"/>
    <col min="11" max="11" width="12.85546875" customWidth="1"/>
    <col min="12" max="12" width="14.140625" customWidth="1"/>
    <col min="13" max="13" width="12.140625" customWidth="1"/>
  </cols>
  <sheetData>
    <row r="1" spans="2:13" ht="15.75" thickBot="1" x14ac:dyDescent="0.3"/>
    <row r="2" spans="2:13" ht="60.75" thickBot="1" x14ac:dyDescent="0.3">
      <c r="B2" s="91" t="s">
        <v>156</v>
      </c>
      <c r="C2" s="91" t="s">
        <v>157</v>
      </c>
      <c r="D2" s="91" t="s">
        <v>158</v>
      </c>
      <c r="E2" s="91" t="s">
        <v>167</v>
      </c>
      <c r="F2" s="91" t="s">
        <v>159</v>
      </c>
      <c r="G2" s="91" t="s">
        <v>166</v>
      </c>
      <c r="H2" s="91" t="s">
        <v>160</v>
      </c>
      <c r="I2" s="91" t="s">
        <v>161</v>
      </c>
      <c r="J2" s="91" t="s">
        <v>162</v>
      </c>
      <c r="K2" s="91" t="s">
        <v>163</v>
      </c>
      <c r="L2" s="92" t="s">
        <v>165</v>
      </c>
      <c r="M2" s="91" t="s">
        <v>164</v>
      </c>
    </row>
    <row r="3" spans="2:13" ht="41.25" customHeight="1" thickBot="1" x14ac:dyDescent="0.3">
      <c r="B3" s="88">
        <f>Results!F27</f>
        <v>0</v>
      </c>
      <c r="C3" s="89">
        <f>Results!F28</f>
        <v>0</v>
      </c>
      <c r="D3" s="89">
        <f>SUMIF('Proposed Design'!B5:B8,'Calcs and References'!A3,'Proposed Design'!O5:O8)</f>
        <v>0</v>
      </c>
      <c r="E3" s="89">
        <f>SUMIF('Existing Building Baseline'!B5:B8,'Calcs and References'!A3,'Existing Building Baseline'!O5:O8)-'Capital Planning Information'!D3</f>
        <v>0</v>
      </c>
      <c r="F3" s="89">
        <f>SUMIF('Proposed Design'!B5:B8,'Calcs and References'!A6,'Proposed Design'!O5:O8)</f>
        <v>0</v>
      </c>
      <c r="G3" s="89">
        <f>SUMIF('Existing Building Baseline'!B5:B8,'Calcs and References'!A6,'Existing Building Baseline'!O5:O8)-'Capital Planning Information'!F3</f>
        <v>0</v>
      </c>
      <c r="H3" s="89">
        <f>SUMIF('Proposed Design'!B5:B8,'Calcs and References'!A5,'Proposed Design'!O5:O8)</f>
        <v>0</v>
      </c>
      <c r="I3" s="89">
        <f>SUMIF('Proposed Design'!B5:B8,'Calcs and References'!A4,'Proposed Design'!O5:O8)</f>
        <v>0</v>
      </c>
      <c r="J3" s="89">
        <f>SUMIF('Proposed Design'!B5:B8,'Calcs and References'!A9,'Proposed Design'!O5:O8)+SUMIF('Proposed Design'!B5:B8,'Calcs and References'!A8,'Proposed Design'!O5:O8)</f>
        <v>0</v>
      </c>
      <c r="K3" s="89">
        <f>Results!D36-Results!F36</f>
        <v>0</v>
      </c>
      <c r="L3" s="89">
        <f>Results!F43/1000</f>
        <v>0</v>
      </c>
      <c r="M3" s="90">
        <f>Results!F25</f>
        <v>0</v>
      </c>
    </row>
    <row r="4" spans="2:13" ht="15.75" thickBot="1" x14ac:dyDescent="0.3"/>
    <row r="5" spans="2:13" ht="15" customHeight="1" x14ac:dyDescent="0.25">
      <c r="B5" s="158" t="s">
        <v>168</v>
      </c>
      <c r="C5" s="159"/>
      <c r="D5" s="159"/>
      <c r="E5" s="159"/>
      <c r="F5" s="159"/>
      <c r="G5" s="159"/>
      <c r="H5" s="160"/>
    </row>
    <row r="6" spans="2:13" x14ac:dyDescent="0.25">
      <c r="B6" s="161"/>
      <c r="C6" s="162"/>
      <c r="D6" s="162"/>
      <c r="E6" s="162"/>
      <c r="F6" s="162"/>
      <c r="G6" s="162"/>
      <c r="H6" s="163"/>
    </row>
    <row r="7" spans="2:13" x14ac:dyDescent="0.25">
      <c r="B7" s="161"/>
      <c r="C7" s="162"/>
      <c r="D7" s="162"/>
      <c r="E7" s="162"/>
      <c r="F7" s="162"/>
      <c r="G7" s="162"/>
      <c r="H7" s="163"/>
    </row>
    <row r="8" spans="2:13" x14ac:dyDescent="0.25">
      <c r="B8" s="161"/>
      <c r="C8" s="162"/>
      <c r="D8" s="162"/>
      <c r="E8" s="162"/>
      <c r="F8" s="162"/>
      <c r="G8" s="162"/>
      <c r="H8" s="163"/>
    </row>
    <row r="9" spans="2:13" x14ac:dyDescent="0.25">
      <c r="B9" s="161"/>
      <c r="C9" s="162"/>
      <c r="D9" s="162"/>
      <c r="E9" s="162"/>
      <c r="F9" s="162"/>
      <c r="G9" s="162"/>
      <c r="H9" s="163"/>
    </row>
    <row r="10" spans="2:13" x14ac:dyDescent="0.25">
      <c r="B10" s="161"/>
      <c r="C10" s="162"/>
      <c r="D10" s="162"/>
      <c r="E10" s="162"/>
      <c r="F10" s="162"/>
      <c r="G10" s="162"/>
      <c r="H10" s="163"/>
    </row>
    <row r="11" spans="2:13" x14ac:dyDescent="0.25">
      <c r="B11" s="161"/>
      <c r="C11" s="162"/>
      <c r="D11" s="162"/>
      <c r="E11" s="162"/>
      <c r="F11" s="162"/>
      <c r="G11" s="162"/>
      <c r="H11" s="163"/>
    </row>
    <row r="12" spans="2:13" x14ac:dyDescent="0.25">
      <c r="B12" s="161"/>
      <c r="C12" s="162"/>
      <c r="D12" s="162"/>
      <c r="E12" s="162"/>
      <c r="F12" s="162"/>
      <c r="G12" s="162"/>
      <c r="H12" s="163"/>
    </row>
    <row r="13" spans="2:13" x14ac:dyDescent="0.25">
      <c r="B13" s="161"/>
      <c r="C13" s="162"/>
      <c r="D13" s="162"/>
      <c r="E13" s="162"/>
      <c r="F13" s="162"/>
      <c r="G13" s="162"/>
      <c r="H13" s="163"/>
    </row>
    <row r="14" spans="2:13" x14ac:dyDescent="0.25">
      <c r="B14" s="161"/>
      <c r="C14" s="162"/>
      <c r="D14" s="162"/>
      <c r="E14" s="162"/>
      <c r="F14" s="162"/>
      <c r="G14" s="162"/>
      <c r="H14" s="163"/>
    </row>
    <row r="15" spans="2:13" x14ac:dyDescent="0.25">
      <c r="B15" s="161"/>
      <c r="C15" s="162"/>
      <c r="D15" s="162"/>
      <c r="E15" s="162"/>
      <c r="F15" s="162"/>
      <c r="G15" s="162"/>
      <c r="H15" s="163"/>
    </row>
    <row r="16" spans="2:13" x14ac:dyDescent="0.25">
      <c r="B16" s="161"/>
      <c r="C16" s="162"/>
      <c r="D16" s="162"/>
      <c r="E16" s="162"/>
      <c r="F16" s="162"/>
      <c r="G16" s="162"/>
      <c r="H16" s="163"/>
    </row>
    <row r="17" spans="2:8" x14ac:dyDescent="0.25">
      <c r="B17" s="161"/>
      <c r="C17" s="162"/>
      <c r="D17" s="162"/>
      <c r="E17" s="162"/>
      <c r="F17" s="162"/>
      <c r="G17" s="162"/>
      <c r="H17" s="163"/>
    </row>
    <row r="18" spans="2:8" x14ac:dyDescent="0.25">
      <c r="B18" s="161"/>
      <c r="C18" s="162"/>
      <c r="D18" s="162"/>
      <c r="E18" s="162"/>
      <c r="F18" s="162"/>
      <c r="G18" s="162"/>
      <c r="H18" s="163"/>
    </row>
    <row r="19" spans="2:8" x14ac:dyDescent="0.25">
      <c r="B19" s="161"/>
      <c r="C19" s="162"/>
      <c r="D19" s="162"/>
      <c r="E19" s="162"/>
      <c r="F19" s="162"/>
      <c r="G19" s="162"/>
      <c r="H19" s="163"/>
    </row>
    <row r="20" spans="2:8" ht="15.75" thickBot="1" x14ac:dyDescent="0.3">
      <c r="B20" s="164"/>
      <c r="C20" s="165"/>
      <c r="D20" s="165"/>
      <c r="E20" s="165"/>
      <c r="F20" s="165"/>
      <c r="G20" s="165"/>
      <c r="H20" s="166"/>
    </row>
  </sheetData>
  <mergeCells count="1">
    <mergeCell ref="B5:H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97EBD-D404-4E1E-8D2D-8E208BA26989}">
  <dimension ref="A1:H9"/>
  <sheetViews>
    <sheetView workbookViewId="0">
      <selection activeCell="G5" sqref="G5"/>
    </sheetView>
  </sheetViews>
  <sheetFormatPr defaultRowHeight="15" x14ac:dyDescent="0.25"/>
  <cols>
    <col min="1" max="1" width="27.140625" customWidth="1"/>
    <col min="2" max="2" width="25.85546875" bestFit="1" customWidth="1"/>
    <col min="3" max="3" width="15.28515625" customWidth="1"/>
    <col min="4" max="4" width="14.7109375" customWidth="1"/>
  </cols>
  <sheetData>
    <row r="1" spans="1:8" x14ac:dyDescent="0.25">
      <c r="A1" t="s">
        <v>24</v>
      </c>
      <c r="B1" t="s">
        <v>173</v>
      </c>
      <c r="C1" t="s">
        <v>62</v>
      </c>
      <c r="D1" t="s">
        <v>125</v>
      </c>
      <c r="E1" t="s">
        <v>24</v>
      </c>
      <c r="F1" t="s">
        <v>174</v>
      </c>
    </row>
    <row r="2" spans="1:8" x14ac:dyDescent="0.25">
      <c r="A2" t="s">
        <v>21</v>
      </c>
      <c r="B2" s="51">
        <f>(F2/1000)*D2</f>
        <v>2.8863292259999996E-4</v>
      </c>
      <c r="C2">
        <v>2.5499999999999998</v>
      </c>
      <c r="D2">
        <f>3412.14/1000000</f>
        <v>3.4121399999999997E-3</v>
      </c>
      <c r="E2" t="s">
        <v>68</v>
      </c>
      <c r="F2">
        <v>84.59</v>
      </c>
      <c r="H2" t="s">
        <v>17</v>
      </c>
    </row>
    <row r="3" spans="1:8" x14ac:dyDescent="0.25">
      <c r="A3" t="s">
        <v>22</v>
      </c>
      <c r="B3" s="51">
        <f t="shared" ref="B3:B6" si="0">(F3/1000)*D3</f>
        <v>5.3102105562800013E-3</v>
      </c>
      <c r="C3">
        <v>1.05</v>
      </c>
      <c r="D3">
        <f>99976.1/1000000</f>
        <v>9.9976100000000012E-2</v>
      </c>
      <c r="E3" t="s">
        <v>66</v>
      </c>
      <c r="F3">
        <v>53.114800000000002</v>
      </c>
      <c r="H3" t="s">
        <v>142</v>
      </c>
    </row>
    <row r="4" spans="1:8" x14ac:dyDescent="0.25">
      <c r="A4" t="s">
        <v>129</v>
      </c>
      <c r="B4" s="51">
        <f t="shared" si="0"/>
        <v>1.0389260000000001E-2</v>
      </c>
      <c r="C4">
        <v>1.01</v>
      </c>
      <c r="D4" s="53">
        <v>0.14000000000000001</v>
      </c>
      <c r="E4" t="s">
        <v>66</v>
      </c>
      <c r="F4">
        <v>74.209000000000003</v>
      </c>
      <c r="H4" t="s">
        <v>18</v>
      </c>
    </row>
    <row r="5" spans="1:8" x14ac:dyDescent="0.25">
      <c r="A5" t="s">
        <v>130</v>
      </c>
      <c r="B5" s="51">
        <f t="shared" si="0"/>
        <v>1.0992193999999999E-2</v>
      </c>
      <c r="C5">
        <v>1.01</v>
      </c>
      <c r="D5" s="53">
        <v>0.14599999999999999</v>
      </c>
      <c r="E5" t="s">
        <v>66</v>
      </c>
      <c r="F5">
        <v>75.289000000000001</v>
      </c>
      <c r="H5" t="s">
        <v>20</v>
      </c>
    </row>
    <row r="6" spans="1:8" x14ac:dyDescent="0.25">
      <c r="A6" t="s">
        <v>124</v>
      </c>
      <c r="B6" s="51">
        <f t="shared" si="0"/>
        <v>6.6398499999999999E-2</v>
      </c>
      <c r="C6">
        <v>1.2</v>
      </c>
      <c r="D6" s="52">
        <v>1</v>
      </c>
      <c r="E6" t="s">
        <v>67</v>
      </c>
      <c r="F6">
        <v>66.398499999999999</v>
      </c>
      <c r="H6" t="s">
        <v>19</v>
      </c>
    </row>
    <row r="7" spans="1:8" x14ac:dyDescent="0.25">
      <c r="A7" t="s">
        <v>128</v>
      </c>
      <c r="B7" s="51">
        <v>7.3889999999999997E-2</v>
      </c>
      <c r="C7">
        <v>0.91</v>
      </c>
      <c r="D7" s="52">
        <v>1</v>
      </c>
      <c r="E7" t="s">
        <v>67</v>
      </c>
      <c r="H7" t="s">
        <v>143</v>
      </c>
    </row>
    <row r="8" spans="1:8" x14ac:dyDescent="0.25">
      <c r="A8" t="s">
        <v>126</v>
      </c>
      <c r="B8" s="51">
        <f>0.05799*D8</f>
        <v>7.3473330000000002E-3</v>
      </c>
      <c r="C8">
        <v>1.01</v>
      </c>
      <c r="D8" s="52">
        <v>0.12670000000000001</v>
      </c>
      <c r="E8" t="s">
        <v>67</v>
      </c>
      <c r="H8" t="s">
        <v>145</v>
      </c>
    </row>
    <row r="9" spans="1:8" x14ac:dyDescent="0.25">
      <c r="A9" t="s">
        <v>127</v>
      </c>
      <c r="B9" s="51">
        <f>0.01118*D9</f>
        <v>1.3360100000000001E-3</v>
      </c>
      <c r="C9">
        <v>1.01</v>
      </c>
      <c r="D9" s="52">
        <v>0.1195</v>
      </c>
      <c r="E9" t="s">
        <v>67</v>
      </c>
      <c r="H9" t="s">
        <v>144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033FA-B387-4407-B59E-C6AB4C4C304D}">
  <dimension ref="A1:X38"/>
  <sheetViews>
    <sheetView workbookViewId="0">
      <selection activeCell="P1" sqref="P1:P1048576"/>
    </sheetView>
  </sheetViews>
  <sheetFormatPr defaultRowHeight="15" x14ac:dyDescent="0.25"/>
  <cols>
    <col min="1" max="1" width="29.85546875" customWidth="1"/>
    <col min="2" max="2" width="18.7109375" customWidth="1"/>
    <col min="4" max="4" width="14.7109375" customWidth="1"/>
    <col min="8" max="8" width="10" bestFit="1" customWidth="1"/>
    <col min="16" max="16" width="9.140625" hidden="1" customWidth="1"/>
    <col min="17" max="17" width="18.85546875" customWidth="1"/>
    <col min="20" max="20" width="10.5703125" bestFit="1" customWidth="1"/>
    <col min="21" max="21" width="12.28515625" customWidth="1"/>
    <col min="22" max="22" width="9.28515625" bestFit="1" customWidth="1"/>
  </cols>
  <sheetData>
    <row r="1" spans="1:23" x14ac:dyDescent="0.25">
      <c r="A1" t="s">
        <v>0</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f>VLOOKUP(B5,'Calcs and References'!A$2:E$9,5,FALSE)</f>
        <v>ELEC</v>
      </c>
      <c r="T5" s="93">
        <f>VLOOKUP(B5,'Calcs and References'!A$2:E$9,4,FALSE)*O5</f>
        <v>0</v>
      </c>
      <c r="U5" s="93" t="e">
        <f>T5*1000/'Basic Info'!$D$22</f>
        <v>#DIV/0!</v>
      </c>
      <c r="V5" s="93" t="e">
        <f>U5*VLOOKUP(B5,'Calcs and References'!A$2:D$9,3,FALSE)</f>
        <v>#DIV/0!</v>
      </c>
      <c r="W5" s="93">
        <f>VLOOKUP(B5,'Calcs and References'!A$2:E$9,2,FALSE)*O5</f>
        <v>0</v>
      </c>
    </row>
    <row r="6" spans="1:23" x14ac:dyDescent="0.25">
      <c r="A6" s="1"/>
      <c r="B6" s="1" t="s">
        <v>22</v>
      </c>
      <c r="C6" s="1"/>
      <c r="D6" s="1"/>
      <c r="E6" s="1"/>
      <c r="F6" s="1"/>
      <c r="G6" s="1"/>
      <c r="H6" s="1"/>
      <c r="I6" s="1"/>
      <c r="J6" s="1"/>
      <c r="K6" s="1"/>
      <c r="L6" s="1"/>
      <c r="M6" s="1"/>
      <c r="N6" s="1"/>
      <c r="O6" s="1"/>
      <c r="P6">
        <f t="shared" ref="P6:P8" si="0">SUM(C6:N6)</f>
        <v>0</v>
      </c>
      <c r="Q6" s="50" t="str">
        <f>IF(ABS(P6-O6)&lt;5," ","Sum not correct")</f>
        <v xml:space="preserve"> </v>
      </c>
      <c r="S6" t="str">
        <f>VLOOKUP(B6,'Calcs and References'!A$2:E$9,5,FALSE)</f>
        <v>FF</v>
      </c>
      <c r="T6" s="93">
        <f>VLOOKUP(B6,'Calcs and References'!A$2:E$9,4,FALSE)*O6</f>
        <v>0</v>
      </c>
      <c r="U6" s="93" t="e">
        <f>T6*1000/'Basic Info'!$D$22</f>
        <v>#DIV/0!</v>
      </c>
      <c r="V6" s="93" t="e">
        <f>U6*VLOOKUP(B6,'Calcs and References'!A$2:D$9,3,FALSE)</f>
        <v>#DIV/0!</v>
      </c>
      <c r="W6" s="93">
        <f>VLOOKUP(B6,'Calcs and References'!A$2:E$9,2,FALSE)*O6</f>
        <v>0</v>
      </c>
    </row>
    <row r="7" spans="1:23" x14ac:dyDescent="0.25">
      <c r="A7" s="1"/>
      <c r="B7" s="1"/>
      <c r="C7" s="1"/>
      <c r="D7" s="1"/>
      <c r="E7" s="1"/>
      <c r="F7" s="1"/>
      <c r="G7" s="1"/>
      <c r="H7" s="1"/>
      <c r="I7" s="1"/>
      <c r="J7" s="1"/>
      <c r="K7" s="1"/>
      <c r="L7" s="1"/>
      <c r="M7" s="1"/>
      <c r="N7" s="1"/>
      <c r="O7" s="1"/>
      <c r="P7">
        <f t="shared" si="0"/>
        <v>0</v>
      </c>
      <c r="Q7" s="50" t="str">
        <f>IF(ABS(P7-O7)&lt;5," ","Sum not correct")</f>
        <v xml:space="preserve"> </v>
      </c>
      <c r="S7" t="e">
        <f>VLOOKUP(B7,'Calcs and References'!A$2:E$9,5,FALSE)</f>
        <v>#N/A</v>
      </c>
      <c r="T7" s="93" t="e">
        <f>VLOOKUP(B7,'Calcs and References'!A$2:E$9,4,FALSE)*O7</f>
        <v>#N/A</v>
      </c>
      <c r="U7" s="93" t="e">
        <f>T7*1000/'Basic Info'!$D$22</f>
        <v>#N/A</v>
      </c>
      <c r="V7" s="93" t="e">
        <f>U7*VLOOKUP(B7,'Calcs and References'!A$2:D$9,3,FALSE)</f>
        <v>#N/A</v>
      </c>
      <c r="W7" s="93" t="e">
        <f>VLOOKUP(B7,'Calcs and References'!A$2:E$9,2,FALSE)*O7</f>
        <v>#N/A</v>
      </c>
    </row>
    <row r="8" spans="1:23" x14ac:dyDescent="0.25">
      <c r="A8" s="1"/>
      <c r="B8" s="1"/>
      <c r="C8" s="1"/>
      <c r="D8" s="1"/>
      <c r="E8" s="1"/>
      <c r="F8" s="1"/>
      <c r="G8" s="1"/>
      <c r="H8" s="1"/>
      <c r="I8" s="1"/>
      <c r="J8" s="1"/>
      <c r="K8" s="1"/>
      <c r="L8" s="1"/>
      <c r="M8" s="1"/>
      <c r="N8" s="1"/>
      <c r="O8" s="1"/>
      <c r="P8">
        <f t="shared" si="0"/>
        <v>0</v>
      </c>
      <c r="Q8" s="50" t="str">
        <f>IF(ABS(P8-O8)&lt;5," ","Sum not correct")</f>
        <v xml:space="preserve"> </v>
      </c>
      <c r="S8" t="e">
        <f>VLOOKUP(B8,'Calcs and References'!A$2:E$9,5,FALSE)</f>
        <v>#N/A</v>
      </c>
      <c r="T8" t="e">
        <f>VLOOKUP(B8,'Calcs and References'!A$2:E$9,4,FALSE)*O8</f>
        <v>#N/A</v>
      </c>
      <c r="U8" t="e">
        <f>T8*1000/'Basic Info'!$D$22</f>
        <v>#N/A</v>
      </c>
      <c r="V8" t="e">
        <f>U8*VLOOKUP(B8,'Calcs and References'!A$2:D$9,3,FALSE)</f>
        <v>#N/A</v>
      </c>
      <c r="W8" t="e">
        <f>VLOOKUP(B8,'Calcs and References'!A$2:E$9,2,FALSE)*O8</f>
        <v>#N/A</v>
      </c>
    </row>
    <row r="9" spans="1:23" x14ac:dyDescent="0.25">
      <c r="V9" t="e">
        <f>SUMIF(V5:V8,"&lt;&gt;#N/A")</f>
        <v>#DIV/0!</v>
      </c>
      <c r="W9">
        <f>SUMIF(W5:W8,"&lt;&gt;#N/A")</f>
        <v>0</v>
      </c>
    </row>
    <row r="10" spans="1:23" x14ac:dyDescent="0.25">
      <c r="T10" t="s">
        <v>69</v>
      </c>
      <c r="U10" t="s">
        <v>70</v>
      </c>
      <c r="V10" t="s">
        <v>122</v>
      </c>
    </row>
    <row r="11" spans="1:23" x14ac:dyDescent="0.25">
      <c r="A11" t="s">
        <v>25</v>
      </c>
      <c r="T11" s="93">
        <f>SUMIF(S5:S8,S2,O5:O8)</f>
        <v>0</v>
      </c>
      <c r="U11" s="93">
        <f>SUMIF(S5:S8,S2,T5:T8)</f>
        <v>0</v>
      </c>
      <c r="V11" s="93">
        <f>U11*'Calcs and References'!C2</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SUMIF(S5:S8,T2,T5:T8)</f>
        <v>0</v>
      </c>
      <c r="V13">
        <f>U13*'Calcs and References'!C3</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SUMIF(S5:S8,U2,T5:T8)</f>
        <v>0</v>
      </c>
      <c r="V15">
        <f>U15*'Calcs and References'!C6</f>
        <v>0</v>
      </c>
    </row>
    <row r="16" spans="1:23" x14ac:dyDescent="0.25">
      <c r="A16" s="1"/>
      <c r="B16" s="1"/>
      <c r="C16" s="1"/>
      <c r="D16" s="1"/>
      <c r="E16" s="1"/>
      <c r="F16" s="1"/>
      <c r="G16" s="1"/>
      <c r="H16" s="1"/>
    </row>
    <row r="17" spans="1:24" ht="30" x14ac:dyDescent="0.25">
      <c r="F17" s="3" t="s">
        <v>32</v>
      </c>
      <c r="G17" s="4" t="s">
        <v>23</v>
      </c>
      <c r="H17" s="4"/>
    </row>
    <row r="18" spans="1:24" x14ac:dyDescent="0.25">
      <c r="F18" s="1"/>
      <c r="G18" s="167" t="str">
        <f>IF(ABS(F13+F14+F15+F16-F18)&lt;5," ","Sum not correct")</f>
        <v xml:space="preserve"> </v>
      </c>
      <c r="H18" s="168"/>
    </row>
    <row r="24" spans="1:24" hidden="1" x14ac:dyDescent="0.25">
      <c r="A24">
        <v>1</v>
      </c>
      <c r="B24">
        <v>2</v>
      </c>
      <c r="C24">
        <v>3</v>
      </c>
      <c r="D24">
        <v>4</v>
      </c>
      <c r="E24">
        <v>5</v>
      </c>
      <c r="F24">
        <v>6</v>
      </c>
      <c r="G24">
        <v>7</v>
      </c>
      <c r="H24">
        <v>8</v>
      </c>
      <c r="I24">
        <v>9</v>
      </c>
      <c r="J24">
        <v>10</v>
      </c>
      <c r="K24">
        <v>11</v>
      </c>
      <c r="L24">
        <v>12</v>
      </c>
      <c r="M24">
        <v>13</v>
      </c>
      <c r="N24">
        <v>14</v>
      </c>
      <c r="O24">
        <v>15</v>
      </c>
      <c r="P24">
        <v>16</v>
      </c>
      <c r="Q24">
        <v>17</v>
      </c>
    </row>
    <row r="25" spans="1:24" hidden="1" x14ac:dyDescent="0.25">
      <c r="C25" s="2" t="s">
        <v>133</v>
      </c>
      <c r="D25" s="2" t="s">
        <v>169</v>
      </c>
      <c r="E25" s="2" t="s">
        <v>139</v>
      </c>
      <c r="F25" s="2" t="s">
        <v>137</v>
      </c>
      <c r="G25" s="2" t="s">
        <v>175</v>
      </c>
      <c r="H25" s="2" t="s">
        <v>176</v>
      </c>
      <c r="I25" s="2" t="s">
        <v>135</v>
      </c>
      <c r="J25" s="2" t="s">
        <v>136</v>
      </c>
      <c r="K25" s="2" t="s">
        <v>177</v>
      </c>
      <c r="L25" s="2" t="s">
        <v>141</v>
      </c>
      <c r="M25" s="2" t="s">
        <v>138</v>
      </c>
      <c r="N25" s="2" t="s">
        <v>134</v>
      </c>
      <c r="O25" s="2" t="s">
        <v>14</v>
      </c>
      <c r="Q25" s="2" t="s">
        <v>140</v>
      </c>
      <c r="T25" s="2" t="s">
        <v>133</v>
      </c>
      <c r="U25">
        <v>3</v>
      </c>
      <c r="W25" t="s">
        <v>21</v>
      </c>
      <c r="X25">
        <v>26</v>
      </c>
    </row>
    <row r="26" spans="1:24" hidden="1" x14ac:dyDescent="0.25">
      <c r="A26">
        <v>26</v>
      </c>
      <c r="B26" s="1" t="s">
        <v>21</v>
      </c>
      <c r="C26">
        <f t="shared" ref="C26:P26" si="1">SUMIF($B$5:$B$8,$B26,C$5:C$8)</f>
        <v>0</v>
      </c>
      <c r="D26">
        <f t="shared" si="1"/>
        <v>0</v>
      </c>
      <c r="E26">
        <f t="shared" si="1"/>
        <v>0</v>
      </c>
      <c r="F26">
        <f t="shared" si="1"/>
        <v>0</v>
      </c>
      <c r="G26">
        <f t="shared" si="1"/>
        <v>0</v>
      </c>
      <c r="H26">
        <f t="shared" si="1"/>
        <v>0</v>
      </c>
      <c r="I26">
        <f t="shared" si="1"/>
        <v>0</v>
      </c>
      <c r="J26">
        <f t="shared" si="1"/>
        <v>0</v>
      </c>
      <c r="K26">
        <f t="shared" si="1"/>
        <v>0</v>
      </c>
      <c r="L26">
        <f t="shared" si="1"/>
        <v>0</v>
      </c>
      <c r="M26">
        <f t="shared" si="1"/>
        <v>0</v>
      </c>
      <c r="N26">
        <f t="shared" si="1"/>
        <v>0</v>
      </c>
      <c r="O26">
        <f t="shared" si="1"/>
        <v>0</v>
      </c>
      <c r="P26">
        <f t="shared" si="1"/>
        <v>0</v>
      </c>
      <c r="Q26">
        <f>G26+H26</f>
        <v>0</v>
      </c>
      <c r="T26" s="2" t="s">
        <v>169</v>
      </c>
      <c r="U26">
        <v>4</v>
      </c>
      <c r="W26" t="s">
        <v>22</v>
      </c>
      <c r="X26">
        <v>27</v>
      </c>
    </row>
    <row r="27" spans="1:24" hidden="1" x14ac:dyDescent="0.25">
      <c r="A27">
        <v>27</v>
      </c>
      <c r="B27" s="1" t="s">
        <v>22</v>
      </c>
      <c r="C27">
        <f t="shared" ref="C27:O33" si="2">SUMIF($B$5:$B$8,$B27,C$5:C$8)</f>
        <v>0</v>
      </c>
      <c r="D27">
        <f t="shared" si="2"/>
        <v>0</v>
      </c>
      <c r="E27">
        <f t="shared" si="2"/>
        <v>0</v>
      </c>
      <c r="F27">
        <f t="shared" si="2"/>
        <v>0</v>
      </c>
      <c r="G27">
        <f t="shared" si="2"/>
        <v>0</v>
      </c>
      <c r="H27">
        <f t="shared" si="2"/>
        <v>0</v>
      </c>
      <c r="I27">
        <f t="shared" si="2"/>
        <v>0</v>
      </c>
      <c r="J27">
        <f t="shared" si="2"/>
        <v>0</v>
      </c>
      <c r="K27">
        <f t="shared" si="2"/>
        <v>0</v>
      </c>
      <c r="L27">
        <f t="shared" si="2"/>
        <v>0</v>
      </c>
      <c r="M27">
        <f t="shared" si="2"/>
        <v>0</v>
      </c>
      <c r="N27">
        <f t="shared" si="2"/>
        <v>0</v>
      </c>
      <c r="O27">
        <f t="shared" si="2"/>
        <v>0</v>
      </c>
      <c r="Q27">
        <f t="shared" ref="Q27:Q33" si="3">G27+H27</f>
        <v>0</v>
      </c>
      <c r="T27" s="2" t="s">
        <v>139</v>
      </c>
      <c r="U27">
        <v>5</v>
      </c>
      <c r="W27" t="s">
        <v>129</v>
      </c>
      <c r="X27">
        <v>28</v>
      </c>
    </row>
    <row r="28" spans="1:24" hidden="1" x14ac:dyDescent="0.25">
      <c r="A28">
        <v>28</v>
      </c>
      <c r="B28" s="1" t="s">
        <v>129</v>
      </c>
      <c r="C28">
        <f t="shared" si="2"/>
        <v>0</v>
      </c>
      <c r="D28">
        <f t="shared" si="2"/>
        <v>0</v>
      </c>
      <c r="E28">
        <f t="shared" si="2"/>
        <v>0</v>
      </c>
      <c r="F28">
        <f t="shared" si="2"/>
        <v>0</v>
      </c>
      <c r="G28">
        <f t="shared" si="2"/>
        <v>0</v>
      </c>
      <c r="H28">
        <f t="shared" si="2"/>
        <v>0</v>
      </c>
      <c r="I28">
        <f t="shared" si="2"/>
        <v>0</v>
      </c>
      <c r="J28">
        <f t="shared" si="2"/>
        <v>0</v>
      </c>
      <c r="K28">
        <f t="shared" si="2"/>
        <v>0</v>
      </c>
      <c r="L28">
        <f t="shared" si="2"/>
        <v>0</v>
      </c>
      <c r="M28">
        <f t="shared" si="2"/>
        <v>0</v>
      </c>
      <c r="N28">
        <f t="shared" si="2"/>
        <v>0</v>
      </c>
      <c r="O28">
        <f t="shared" si="2"/>
        <v>0</v>
      </c>
      <c r="Q28">
        <f t="shared" si="3"/>
        <v>0</v>
      </c>
      <c r="T28" s="2" t="s">
        <v>137</v>
      </c>
      <c r="U28">
        <v>6</v>
      </c>
      <c r="W28" t="s">
        <v>130</v>
      </c>
      <c r="X28">
        <v>29</v>
      </c>
    </row>
    <row r="29" spans="1:24" hidden="1" x14ac:dyDescent="0.25">
      <c r="A29">
        <v>29</v>
      </c>
      <c r="B29" s="1" t="s">
        <v>130</v>
      </c>
      <c r="C29">
        <f t="shared" si="2"/>
        <v>0</v>
      </c>
      <c r="D29">
        <f t="shared" si="2"/>
        <v>0</v>
      </c>
      <c r="E29">
        <f t="shared" si="2"/>
        <v>0</v>
      </c>
      <c r="F29">
        <f t="shared" si="2"/>
        <v>0</v>
      </c>
      <c r="G29">
        <f t="shared" si="2"/>
        <v>0</v>
      </c>
      <c r="H29">
        <f t="shared" si="2"/>
        <v>0</v>
      </c>
      <c r="I29">
        <f t="shared" si="2"/>
        <v>0</v>
      </c>
      <c r="J29">
        <f t="shared" si="2"/>
        <v>0</v>
      </c>
      <c r="K29">
        <f t="shared" si="2"/>
        <v>0</v>
      </c>
      <c r="L29">
        <f t="shared" si="2"/>
        <v>0</v>
      </c>
      <c r="M29">
        <f t="shared" si="2"/>
        <v>0</v>
      </c>
      <c r="N29">
        <f t="shared" si="2"/>
        <v>0</v>
      </c>
      <c r="O29">
        <f t="shared" si="2"/>
        <v>0</v>
      </c>
      <c r="Q29">
        <f t="shared" si="3"/>
        <v>0</v>
      </c>
      <c r="T29" s="2" t="s">
        <v>175</v>
      </c>
      <c r="U29">
        <v>7</v>
      </c>
      <c r="W29" t="s">
        <v>124</v>
      </c>
      <c r="X29">
        <v>30</v>
      </c>
    </row>
    <row r="30" spans="1:24" hidden="1" x14ac:dyDescent="0.25">
      <c r="A30">
        <v>30</v>
      </c>
      <c r="B30" s="1" t="s">
        <v>124</v>
      </c>
      <c r="C30">
        <f t="shared" si="2"/>
        <v>0</v>
      </c>
      <c r="D30">
        <f t="shared" si="2"/>
        <v>0</v>
      </c>
      <c r="E30">
        <f t="shared" si="2"/>
        <v>0</v>
      </c>
      <c r="F30">
        <f t="shared" si="2"/>
        <v>0</v>
      </c>
      <c r="G30">
        <f t="shared" si="2"/>
        <v>0</v>
      </c>
      <c r="H30">
        <f t="shared" si="2"/>
        <v>0</v>
      </c>
      <c r="I30">
        <f t="shared" si="2"/>
        <v>0</v>
      </c>
      <c r="J30">
        <f t="shared" si="2"/>
        <v>0</v>
      </c>
      <c r="K30">
        <f t="shared" si="2"/>
        <v>0</v>
      </c>
      <c r="L30">
        <f t="shared" si="2"/>
        <v>0</v>
      </c>
      <c r="M30">
        <f t="shared" si="2"/>
        <v>0</v>
      </c>
      <c r="N30">
        <f t="shared" si="2"/>
        <v>0</v>
      </c>
      <c r="O30">
        <f t="shared" si="2"/>
        <v>0</v>
      </c>
      <c r="Q30">
        <f t="shared" si="3"/>
        <v>0</v>
      </c>
      <c r="T30" s="2" t="s">
        <v>176</v>
      </c>
      <c r="U30">
        <v>8</v>
      </c>
      <c r="W30" t="s">
        <v>128</v>
      </c>
      <c r="X30">
        <v>31</v>
      </c>
    </row>
    <row r="31" spans="1:24" hidden="1" x14ac:dyDescent="0.25">
      <c r="A31">
        <v>31</v>
      </c>
      <c r="B31" s="1" t="s">
        <v>128</v>
      </c>
      <c r="C31">
        <f t="shared" si="2"/>
        <v>0</v>
      </c>
      <c r="D31">
        <f t="shared" si="2"/>
        <v>0</v>
      </c>
      <c r="E31">
        <f t="shared" si="2"/>
        <v>0</v>
      </c>
      <c r="F31">
        <f t="shared" si="2"/>
        <v>0</v>
      </c>
      <c r="G31">
        <f t="shared" si="2"/>
        <v>0</v>
      </c>
      <c r="H31">
        <f t="shared" si="2"/>
        <v>0</v>
      </c>
      <c r="I31">
        <f t="shared" si="2"/>
        <v>0</v>
      </c>
      <c r="J31">
        <f t="shared" si="2"/>
        <v>0</v>
      </c>
      <c r="K31">
        <f t="shared" si="2"/>
        <v>0</v>
      </c>
      <c r="L31">
        <f t="shared" si="2"/>
        <v>0</v>
      </c>
      <c r="M31">
        <f t="shared" si="2"/>
        <v>0</v>
      </c>
      <c r="N31">
        <f t="shared" si="2"/>
        <v>0</v>
      </c>
      <c r="O31">
        <f t="shared" si="2"/>
        <v>0</v>
      </c>
      <c r="Q31">
        <f t="shared" si="3"/>
        <v>0</v>
      </c>
      <c r="T31" s="2" t="s">
        <v>135</v>
      </c>
      <c r="U31">
        <v>9</v>
      </c>
      <c r="W31" t="s">
        <v>126</v>
      </c>
      <c r="X31">
        <v>32</v>
      </c>
    </row>
    <row r="32" spans="1:24" hidden="1" x14ac:dyDescent="0.25">
      <c r="A32">
        <v>32</v>
      </c>
      <c r="B32" s="1" t="s">
        <v>126</v>
      </c>
      <c r="C32">
        <f t="shared" si="2"/>
        <v>0</v>
      </c>
      <c r="D32">
        <f t="shared" si="2"/>
        <v>0</v>
      </c>
      <c r="E32">
        <f t="shared" si="2"/>
        <v>0</v>
      </c>
      <c r="F32">
        <f t="shared" si="2"/>
        <v>0</v>
      </c>
      <c r="G32">
        <f t="shared" si="2"/>
        <v>0</v>
      </c>
      <c r="H32">
        <f t="shared" si="2"/>
        <v>0</v>
      </c>
      <c r="I32">
        <f t="shared" si="2"/>
        <v>0</v>
      </c>
      <c r="J32">
        <f t="shared" si="2"/>
        <v>0</v>
      </c>
      <c r="K32">
        <f t="shared" si="2"/>
        <v>0</v>
      </c>
      <c r="L32">
        <f t="shared" si="2"/>
        <v>0</v>
      </c>
      <c r="M32">
        <f t="shared" si="2"/>
        <v>0</v>
      </c>
      <c r="N32">
        <f t="shared" si="2"/>
        <v>0</v>
      </c>
      <c r="O32">
        <f t="shared" si="2"/>
        <v>0</v>
      </c>
      <c r="Q32">
        <f t="shared" si="3"/>
        <v>0</v>
      </c>
      <c r="T32" s="2" t="s">
        <v>136</v>
      </c>
      <c r="U32">
        <v>10</v>
      </c>
      <c r="W32" t="s">
        <v>127</v>
      </c>
      <c r="X32">
        <v>33</v>
      </c>
    </row>
    <row r="33" spans="1:21" hidden="1" x14ac:dyDescent="0.25">
      <c r="A33">
        <v>33</v>
      </c>
      <c r="B33" s="1" t="s">
        <v>127</v>
      </c>
      <c r="C33">
        <f t="shared" si="2"/>
        <v>0</v>
      </c>
      <c r="D33">
        <f t="shared" si="2"/>
        <v>0</v>
      </c>
      <c r="E33">
        <f t="shared" si="2"/>
        <v>0</v>
      </c>
      <c r="F33">
        <f t="shared" si="2"/>
        <v>0</v>
      </c>
      <c r="G33">
        <f t="shared" si="2"/>
        <v>0</v>
      </c>
      <c r="H33">
        <f t="shared" si="2"/>
        <v>0</v>
      </c>
      <c r="I33">
        <f t="shared" si="2"/>
        <v>0</v>
      </c>
      <c r="J33">
        <f t="shared" si="2"/>
        <v>0</v>
      </c>
      <c r="K33">
        <f t="shared" si="2"/>
        <v>0</v>
      </c>
      <c r="L33">
        <f t="shared" si="2"/>
        <v>0</v>
      </c>
      <c r="M33">
        <f t="shared" si="2"/>
        <v>0</v>
      </c>
      <c r="N33">
        <f t="shared" si="2"/>
        <v>0</v>
      </c>
      <c r="O33">
        <f t="shared" si="2"/>
        <v>0</v>
      </c>
      <c r="Q33">
        <f t="shared" si="3"/>
        <v>0</v>
      </c>
      <c r="T33" s="2" t="s">
        <v>177</v>
      </c>
      <c r="U33">
        <v>11</v>
      </c>
    </row>
    <row r="34" spans="1:21" hidden="1" x14ac:dyDescent="0.25">
      <c r="T34" s="2" t="s">
        <v>141</v>
      </c>
      <c r="U34">
        <v>12</v>
      </c>
    </row>
    <row r="35" spans="1:21" hidden="1" x14ac:dyDescent="0.25">
      <c r="T35" s="2" t="s">
        <v>138</v>
      </c>
      <c r="U35">
        <v>13</v>
      </c>
    </row>
    <row r="36" spans="1:21" hidden="1" x14ac:dyDescent="0.25">
      <c r="T36" s="2" t="s">
        <v>134</v>
      </c>
      <c r="U36">
        <v>14</v>
      </c>
    </row>
    <row r="37" spans="1:21" hidden="1" x14ac:dyDescent="0.25">
      <c r="T37" s="2" t="s">
        <v>14</v>
      </c>
      <c r="U37">
        <v>15</v>
      </c>
    </row>
    <row r="38" spans="1:21" hidden="1" x14ac:dyDescent="0.25">
      <c r="T38" s="2" t="s">
        <v>140</v>
      </c>
      <c r="U38">
        <v>17</v>
      </c>
    </row>
  </sheetData>
  <mergeCells count="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8A34704-E5E1-4178-BAB9-3BCD86DC8D91}">
          <x14:formula1>
            <xm:f>'Calcs and References'!$A$2:$A$9</xm:f>
          </x14:formula1>
          <xm:sqref>B13:B16 B5:B8 B26:B33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9E4B4-C8C5-4206-90D5-E64655FCEEBD}">
  <dimension ref="A1:W34"/>
  <sheetViews>
    <sheetView workbookViewId="0">
      <selection activeCell="P1" sqref="P1:P1048576"/>
    </sheetView>
  </sheetViews>
  <sheetFormatPr defaultRowHeight="15" x14ac:dyDescent="0.25"/>
  <cols>
    <col min="1" max="1" width="29.85546875" customWidth="1"/>
    <col min="2" max="2" width="19.85546875" bestFit="1" customWidth="1"/>
    <col min="3" max="3" width="11.42578125" customWidth="1"/>
    <col min="4" max="5" width="11.140625" bestFit="1" customWidth="1"/>
    <col min="6" max="6" width="12.140625" customWidth="1"/>
    <col min="7" max="7" width="12.28515625" customWidth="1"/>
    <col min="8" max="8" width="11.85546875" bestFit="1" customWidth="1"/>
    <col min="9" max="9" width="12.140625" customWidth="1"/>
    <col min="10" max="10" width="9.28515625" customWidth="1"/>
    <col min="11" max="11" width="9.7109375" customWidth="1"/>
    <col min="12" max="12" width="7.85546875" customWidth="1"/>
    <col min="16" max="16" width="9.140625" hidden="1" customWidth="1"/>
    <col min="17" max="17" width="18.85546875" customWidth="1"/>
    <col min="20" max="20" width="10.5703125" bestFit="1" customWidth="1"/>
    <col min="21" max="21" width="12.28515625" customWidth="1"/>
    <col min="22" max="22" width="9.28515625" bestFit="1" customWidth="1"/>
  </cols>
  <sheetData>
    <row r="1" spans="1:23" x14ac:dyDescent="0.25">
      <c r="A1" t="s">
        <v>171</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f>VLOOKUP(B5,'Calcs and References'!A$2:E$9,5,FALSE)</f>
        <v>ELEC</v>
      </c>
      <c r="T5" s="93">
        <f>VLOOKUP(B5,'Calcs and References'!A$2:E$9,4,FALSE)*O5</f>
        <v>0</v>
      </c>
      <c r="U5" s="93" t="e">
        <f>T5*1000/'Basic Info'!$D$22</f>
        <v>#DIV/0!</v>
      </c>
      <c r="V5" s="93" t="e">
        <f>U5*VLOOKUP(B5,'Calcs and References'!A$2:D$9,3,FALSE)</f>
        <v>#DIV/0!</v>
      </c>
      <c r="W5" s="93">
        <f>VLOOKUP(B5,'Calcs and References'!A$2:E$9,2,FALSE)*O5</f>
        <v>0</v>
      </c>
    </row>
    <row r="6" spans="1:23" x14ac:dyDescent="0.25">
      <c r="A6" s="1"/>
      <c r="B6" s="1" t="s">
        <v>22</v>
      </c>
      <c r="C6" s="1"/>
      <c r="D6" s="1"/>
      <c r="E6" s="1"/>
      <c r="F6" s="1"/>
      <c r="G6" s="1"/>
      <c r="H6" s="1"/>
      <c r="I6" s="1"/>
      <c r="J6" s="1"/>
      <c r="K6" s="1"/>
      <c r="L6" s="1"/>
      <c r="M6" s="1"/>
      <c r="N6" s="1"/>
      <c r="O6" s="1"/>
      <c r="P6">
        <f t="shared" ref="P6:P8" si="0">SUM(C6:N6)</f>
        <v>0</v>
      </c>
      <c r="Q6" s="50" t="str">
        <f>IF(ABS(P6-O6)&lt;5," ","Sum not correct")</f>
        <v xml:space="preserve"> </v>
      </c>
      <c r="S6" t="str">
        <f>VLOOKUP(B6,'Calcs and References'!A$2:E$9,5,FALSE)</f>
        <v>FF</v>
      </c>
      <c r="T6" s="93">
        <f>VLOOKUP(B6,'Calcs and References'!A$2:E$9,4,FALSE)*O6</f>
        <v>0</v>
      </c>
      <c r="U6" s="93" t="e">
        <f>T6*1000/'Basic Info'!$D$22</f>
        <v>#DIV/0!</v>
      </c>
      <c r="V6" s="93" t="e">
        <f>U6*VLOOKUP(B6,'Calcs and References'!A$2:D$9,3,FALSE)</f>
        <v>#DIV/0!</v>
      </c>
      <c r="W6" s="93">
        <f>VLOOKUP(B6,'Calcs and References'!A$2:E$9,2,FALSE)*O6</f>
        <v>0</v>
      </c>
    </row>
    <row r="7" spans="1:23" x14ac:dyDescent="0.25">
      <c r="A7" s="1"/>
      <c r="B7" s="1"/>
      <c r="C7" s="1"/>
      <c r="D7" s="1"/>
      <c r="E7" s="1"/>
      <c r="F7" s="1"/>
      <c r="G7" s="1"/>
      <c r="H7" s="1"/>
      <c r="I7" s="1"/>
      <c r="J7" s="1"/>
      <c r="K7" s="1"/>
      <c r="L7" s="1"/>
      <c r="M7" s="1"/>
      <c r="N7" s="1"/>
      <c r="O7" s="1"/>
      <c r="P7">
        <f t="shared" si="0"/>
        <v>0</v>
      </c>
      <c r="Q7" s="50" t="str">
        <f>IF(ABS(P7-O7)&lt;5," ","Sum not correct")</f>
        <v xml:space="preserve"> </v>
      </c>
      <c r="S7" t="e">
        <f>VLOOKUP(B7,'Calcs and References'!A$2:E$9,5,FALSE)</f>
        <v>#N/A</v>
      </c>
      <c r="T7" s="93" t="e">
        <f>VLOOKUP(B7,'Calcs and References'!A$2:E$9,4,FALSE)*O7</f>
        <v>#N/A</v>
      </c>
      <c r="U7" s="93" t="e">
        <f>T7*1000/'Basic Info'!$D$22</f>
        <v>#N/A</v>
      </c>
      <c r="V7" s="93" t="e">
        <f>U7*VLOOKUP(B7,'Calcs and References'!A$2:D$9,3,FALSE)</f>
        <v>#N/A</v>
      </c>
      <c r="W7" s="93" t="e">
        <f>VLOOKUP(B7,'Calcs and References'!A$2:E$9,2,FALSE)*O7</f>
        <v>#N/A</v>
      </c>
    </row>
    <row r="8" spans="1:23" x14ac:dyDescent="0.25">
      <c r="A8" s="1"/>
      <c r="B8" s="1"/>
      <c r="C8" s="1"/>
      <c r="D8" s="1"/>
      <c r="E8" s="1"/>
      <c r="F8" s="1"/>
      <c r="G8" s="1"/>
      <c r="H8" s="1"/>
      <c r="I8" s="1"/>
      <c r="J8" s="1"/>
      <c r="K8" s="1"/>
      <c r="L8" s="1"/>
      <c r="M8" s="1"/>
      <c r="N8" s="1"/>
      <c r="O8" s="1"/>
      <c r="P8">
        <f t="shared" si="0"/>
        <v>0</v>
      </c>
      <c r="Q8" s="50" t="str">
        <f>IF(ABS(P8-O8)&lt;5," ","Sum not correct")</f>
        <v xml:space="preserve"> </v>
      </c>
      <c r="S8" t="e">
        <f>VLOOKUP(B8,'Calcs and References'!A$2:E$9,5,FALSE)</f>
        <v>#N/A</v>
      </c>
      <c r="T8" t="e">
        <f>VLOOKUP(B8,'Calcs and References'!A$2:E$9,4,FALSE)*O8</f>
        <v>#N/A</v>
      </c>
      <c r="U8" t="e">
        <f>T8*1000/'Basic Info'!$D$22</f>
        <v>#N/A</v>
      </c>
      <c r="V8" t="e">
        <f>U8*VLOOKUP(B8,'Calcs and References'!A$2:D$9,3,FALSE)</f>
        <v>#N/A</v>
      </c>
      <c r="W8" t="e">
        <f>VLOOKUP(B8,'Calcs and References'!A$2:E$9,2,FALSE)*O8</f>
        <v>#N/A</v>
      </c>
    </row>
    <row r="9" spans="1:23" x14ac:dyDescent="0.25">
      <c r="V9" t="e">
        <f>SUMIF(V5:V8,"&lt;&gt;#N/A")</f>
        <v>#DIV/0!</v>
      </c>
      <c r="W9">
        <f>SUMIF(W5:W8,"&lt;&gt;#N/A")</f>
        <v>0</v>
      </c>
    </row>
    <row r="10" spans="1:23" x14ac:dyDescent="0.25">
      <c r="T10" t="s">
        <v>69</v>
      </c>
      <c r="U10" t="s">
        <v>70</v>
      </c>
      <c r="V10" t="s">
        <v>122</v>
      </c>
    </row>
    <row r="11" spans="1:23" x14ac:dyDescent="0.25">
      <c r="A11" t="s">
        <v>25</v>
      </c>
      <c r="T11" s="93">
        <f>SUMIF(S5:S8,S2,O5:O8)</f>
        <v>0</v>
      </c>
      <c r="U11" s="93">
        <f>SUMIF(S5:S8,S2,T5:T8)</f>
        <v>0</v>
      </c>
      <c r="V11" s="93">
        <f>U11*'Calcs and References'!C2</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SUMIF(S5:S8,T2,T5:T8)</f>
        <v>0</v>
      </c>
      <c r="V13">
        <f>U13*'Calcs and References'!C3</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SUMIF(S5:S8,U2,T5:T8)</f>
        <v>0</v>
      </c>
      <c r="V15">
        <f>U15*'Calcs and References'!C6</f>
        <v>0</v>
      </c>
    </row>
    <row r="16" spans="1:23" x14ac:dyDescent="0.25">
      <c r="A16" s="1"/>
      <c r="B16" s="1"/>
      <c r="C16" s="1"/>
      <c r="D16" s="1"/>
      <c r="E16" s="1"/>
      <c r="F16" s="1"/>
      <c r="G16" s="1"/>
      <c r="H16" s="1"/>
    </row>
    <row r="17" spans="6:8" ht="30" x14ac:dyDescent="0.25">
      <c r="F17" s="3" t="s">
        <v>32</v>
      </c>
      <c r="G17" s="4" t="s">
        <v>23</v>
      </c>
      <c r="H17" s="4"/>
    </row>
    <row r="18" spans="6:8" x14ac:dyDescent="0.25">
      <c r="F18" s="1"/>
      <c r="G18" s="167" t="str">
        <f>IF(ABS(F13+F14+F15+F16-F18)&lt;5," ","Sum not correct")</f>
        <v xml:space="preserve"> </v>
      </c>
      <c r="H18" s="168"/>
    </row>
    <row r="34" ht="30.75" customHeight="1" x14ac:dyDescent="0.25"/>
  </sheetData>
  <mergeCells count="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1293CA6-518E-4E8F-B938-7B1788C1B1CB}">
          <x14:formula1>
            <xm:f>'Calcs and References'!$A$2:$A$9</xm:f>
          </x14:formula1>
          <xm:sqref>B13:B16 B5:B8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BC388-4E26-43DB-A5FE-F84F1C3708A0}">
  <dimension ref="A1:X38"/>
  <sheetViews>
    <sheetView workbookViewId="0">
      <selection activeCell="P1" sqref="P1:P1048576"/>
    </sheetView>
  </sheetViews>
  <sheetFormatPr defaultRowHeight="15" x14ac:dyDescent="0.25"/>
  <cols>
    <col min="1" max="1" width="29.85546875" customWidth="1"/>
    <col min="2" max="2" width="18.7109375" customWidth="1"/>
    <col min="4" max="4" width="14.7109375" customWidth="1"/>
    <col min="16" max="16" width="9.140625" hidden="1" customWidth="1"/>
    <col min="17" max="17" width="18.85546875" customWidth="1"/>
    <col min="21" max="21" width="15.5703125" customWidth="1"/>
    <col min="22" max="22" width="12" bestFit="1" customWidth="1"/>
  </cols>
  <sheetData>
    <row r="1" spans="1:23" x14ac:dyDescent="0.25">
      <c r="A1" t="s">
        <v>34</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f>VLOOKUP(B5,'Calcs and References'!A$2:E$9,5,FALSE)</f>
        <v>ELEC</v>
      </c>
      <c r="T5">
        <f>VLOOKUP(B5,'Calcs and References'!A$2:E$9,4,FALSE)*O5</f>
        <v>0</v>
      </c>
      <c r="U5" t="e">
        <f>T5*1000/'Basic Info'!$D$22</f>
        <v>#DIV/0!</v>
      </c>
      <c r="V5" t="e">
        <f>U5*VLOOKUP(B5,'Calcs and References'!A$2:D$9,3,FALSE)</f>
        <v>#DIV/0!</v>
      </c>
      <c r="W5">
        <f>VLOOKUP(B5,'Calcs and References'!A$2:E$9,2,FALSE)*O5</f>
        <v>0</v>
      </c>
    </row>
    <row r="6" spans="1:23" x14ac:dyDescent="0.25">
      <c r="A6" s="1"/>
      <c r="B6" s="1" t="s">
        <v>22</v>
      </c>
      <c r="C6" s="1"/>
      <c r="D6" s="1"/>
      <c r="E6" s="1"/>
      <c r="F6" s="1"/>
      <c r="G6" s="1"/>
      <c r="H6" s="1"/>
      <c r="I6" s="1"/>
      <c r="J6" s="1"/>
      <c r="K6" s="1"/>
      <c r="L6" s="1"/>
      <c r="M6" s="1"/>
      <c r="N6" s="1"/>
      <c r="O6" s="1"/>
      <c r="P6">
        <f>SUM(C6:N6)</f>
        <v>0</v>
      </c>
      <c r="Q6" s="50" t="str">
        <f>IF(ABS(P6-O6)&lt;5," ","Sum not correct")</f>
        <v xml:space="preserve"> </v>
      </c>
      <c r="S6" t="str">
        <f>VLOOKUP(B6,'Calcs and References'!A$2:E$9,5,FALSE)</f>
        <v>FF</v>
      </c>
      <c r="T6">
        <f>VLOOKUP(B6,'Calcs and References'!A$2:E$9,4,FALSE)*O6</f>
        <v>0</v>
      </c>
      <c r="U6" t="e">
        <f>T6*1000/'Basic Info'!$D$22</f>
        <v>#DIV/0!</v>
      </c>
      <c r="V6" t="e">
        <f>U6*VLOOKUP(B6,'Calcs and References'!A$2:D$9,3,FALSE)</f>
        <v>#DIV/0!</v>
      </c>
      <c r="W6">
        <f>VLOOKUP(B6,'Calcs and References'!A$2:E$9,2,FALSE)*O6</f>
        <v>0</v>
      </c>
    </row>
    <row r="7" spans="1:23" x14ac:dyDescent="0.25">
      <c r="A7" s="1"/>
      <c r="B7" s="1"/>
      <c r="C7" s="1"/>
      <c r="D7" s="1"/>
      <c r="E7" s="1"/>
      <c r="F7" s="1"/>
      <c r="G7" s="1"/>
      <c r="H7" s="1"/>
      <c r="I7" s="1"/>
      <c r="J7" s="1"/>
      <c r="K7" s="1"/>
      <c r="L7" s="1"/>
      <c r="M7" s="1"/>
      <c r="N7" s="1"/>
      <c r="O7" s="1"/>
      <c r="P7">
        <f>SUM(C7:N7)</f>
        <v>0</v>
      </c>
      <c r="Q7" s="50" t="str">
        <f>IF(ABS(P7-O7)&lt;5," ","Sum not correct")</f>
        <v xml:space="preserve"> </v>
      </c>
      <c r="S7" t="e">
        <f>VLOOKUP(B7,'Calcs and References'!A$2:E$9,5,FALSE)</f>
        <v>#N/A</v>
      </c>
      <c r="T7" t="e">
        <f>VLOOKUP(B7,'Calcs and References'!A$2:E$9,4,FALSE)*O7</f>
        <v>#N/A</v>
      </c>
      <c r="U7" t="e">
        <f>T7*1000/'Basic Info'!$D$22</f>
        <v>#N/A</v>
      </c>
      <c r="V7" t="e">
        <f>U7*VLOOKUP(B7,'Calcs and References'!A$2:D$9,3,FALSE)</f>
        <v>#N/A</v>
      </c>
      <c r="W7" t="e">
        <f>VLOOKUP(B7,'Calcs and References'!A$2:E$9,2,FALSE)*O7</f>
        <v>#N/A</v>
      </c>
    </row>
    <row r="8" spans="1:23" x14ac:dyDescent="0.25">
      <c r="A8" s="1"/>
      <c r="B8" s="1"/>
      <c r="C8" s="1"/>
      <c r="D8" s="1"/>
      <c r="E8" s="1"/>
      <c r="F8" s="1"/>
      <c r="G8" s="1"/>
      <c r="H8" s="1"/>
      <c r="I8" s="1"/>
      <c r="J8" s="1"/>
      <c r="K8" s="1"/>
      <c r="L8" s="1"/>
      <c r="M8" s="1"/>
      <c r="N8" s="1"/>
      <c r="O8" s="1"/>
      <c r="P8">
        <f t="shared" ref="P8" si="0">SUM(C8:N8)</f>
        <v>0</v>
      </c>
      <c r="Q8" s="50" t="str">
        <f>IF(ABS(P8-O8)&lt;5," ","Sum not correct")</f>
        <v xml:space="preserve"> </v>
      </c>
      <c r="S8" t="e">
        <f>VLOOKUP(B8,'Calcs and References'!A$2:E$9,5,FALSE)</f>
        <v>#N/A</v>
      </c>
      <c r="T8" t="e">
        <f>VLOOKUP(B8,'Calcs and References'!A$2:E$9,4,FALSE)*O8</f>
        <v>#N/A</v>
      </c>
      <c r="U8" t="e">
        <f>T8*1000/'Basic Info'!$D$22</f>
        <v>#N/A</v>
      </c>
      <c r="V8" t="e">
        <f>U8*VLOOKUP(B8,'Calcs and References'!A$2:D$9,3,FALSE)</f>
        <v>#N/A</v>
      </c>
      <c r="W8" t="e">
        <f>VLOOKUP(B8,'Calcs and References'!A$2:E$9,2,FALSE)*O8</f>
        <v>#N/A</v>
      </c>
    </row>
    <row r="9" spans="1:23" x14ac:dyDescent="0.25">
      <c r="V9" t="e">
        <f>SUMIF(V5:V8,"&lt;&gt;#N/A")</f>
        <v>#DIV/0!</v>
      </c>
      <c r="W9">
        <f>SUMIF(W5:W8,"&lt;&gt;#N/A")</f>
        <v>0</v>
      </c>
    </row>
    <row r="10" spans="1:23" x14ac:dyDescent="0.25">
      <c r="T10" t="s">
        <v>69</v>
      </c>
      <c r="U10" t="s">
        <v>70</v>
      </c>
      <c r="V10" t="s">
        <v>122</v>
      </c>
    </row>
    <row r="11" spans="1:23" x14ac:dyDescent="0.25">
      <c r="A11" t="s">
        <v>25</v>
      </c>
      <c r="T11">
        <f>SUMIF(S5:S8,S2,O5:O8)</f>
        <v>0</v>
      </c>
      <c r="U11" s="27">
        <f>SUMIF(S5:S8,S2,T5:T8)</f>
        <v>0</v>
      </c>
      <c r="V11">
        <f>U11*'Calcs and References'!C2</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SUMIF(S5:S8,T2,T5:T8)</f>
        <v>0</v>
      </c>
      <c r="V13">
        <f>U13*'Calcs and References'!C3</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SUMIF(S5:S8,U2,T5:T8)</f>
        <v>0</v>
      </c>
      <c r="V15">
        <f>U15*'Calcs and References'!C6</f>
        <v>0</v>
      </c>
    </row>
    <row r="16" spans="1:23" x14ac:dyDescent="0.25">
      <c r="A16" s="1"/>
      <c r="B16" s="1"/>
      <c r="C16" s="1"/>
      <c r="D16" s="1"/>
      <c r="E16" s="1"/>
      <c r="F16" s="1"/>
      <c r="G16" s="1"/>
      <c r="H16" s="1"/>
    </row>
    <row r="17" spans="1:24" ht="30" x14ac:dyDescent="0.25">
      <c r="F17" s="3" t="s">
        <v>32</v>
      </c>
      <c r="G17" s="4" t="s">
        <v>23</v>
      </c>
      <c r="H17" s="4"/>
    </row>
    <row r="18" spans="1:24" x14ac:dyDescent="0.25">
      <c r="F18" s="1"/>
      <c r="G18" s="167" t="str">
        <f>IF(ABS(F13+F14+F15+F16-F18)&lt;5," ","Sum not correct")</f>
        <v xml:space="preserve"> </v>
      </c>
      <c r="H18" s="168"/>
    </row>
    <row r="24" spans="1:24" hidden="1" x14ac:dyDescent="0.25">
      <c r="A24">
        <v>1</v>
      </c>
      <c r="B24">
        <v>2</v>
      </c>
      <c r="C24">
        <v>3</v>
      </c>
      <c r="D24">
        <v>4</v>
      </c>
      <c r="E24">
        <v>5</v>
      </c>
      <c r="F24">
        <v>6</v>
      </c>
      <c r="G24">
        <v>7</v>
      </c>
      <c r="H24">
        <v>8</v>
      </c>
      <c r="I24">
        <v>9</v>
      </c>
      <c r="J24">
        <v>10</v>
      </c>
      <c r="K24">
        <v>11</v>
      </c>
      <c r="L24">
        <v>12</v>
      </c>
      <c r="M24">
        <v>13</v>
      </c>
      <c r="N24">
        <v>14</v>
      </c>
      <c r="O24">
        <v>15</v>
      </c>
      <c r="P24">
        <v>16</v>
      </c>
      <c r="Q24">
        <v>17</v>
      </c>
    </row>
    <row r="25" spans="1:24" hidden="1" x14ac:dyDescent="0.25">
      <c r="C25" s="2" t="s">
        <v>133</v>
      </c>
      <c r="D25" s="2" t="s">
        <v>169</v>
      </c>
      <c r="E25" s="2" t="s">
        <v>139</v>
      </c>
      <c r="F25" s="2" t="s">
        <v>137</v>
      </c>
      <c r="G25" s="2" t="s">
        <v>175</v>
      </c>
      <c r="H25" s="2" t="s">
        <v>176</v>
      </c>
      <c r="I25" s="2" t="s">
        <v>135</v>
      </c>
      <c r="J25" s="2" t="s">
        <v>136</v>
      </c>
      <c r="K25" s="2" t="s">
        <v>177</v>
      </c>
      <c r="L25" s="2" t="s">
        <v>141</v>
      </c>
      <c r="M25" s="2" t="s">
        <v>138</v>
      </c>
      <c r="N25" s="2" t="s">
        <v>134</v>
      </c>
      <c r="O25" s="2" t="s">
        <v>14</v>
      </c>
      <c r="Q25" s="2" t="s">
        <v>140</v>
      </c>
      <c r="T25" s="2" t="s">
        <v>133</v>
      </c>
      <c r="U25">
        <v>3</v>
      </c>
      <c r="W25" t="s">
        <v>21</v>
      </c>
      <c r="X25">
        <v>26</v>
      </c>
    </row>
    <row r="26" spans="1:24" hidden="1" x14ac:dyDescent="0.25">
      <c r="A26">
        <v>26</v>
      </c>
      <c r="B26" s="1" t="s">
        <v>21</v>
      </c>
      <c r="C26">
        <f t="shared" ref="C26:P26" si="1">SUMIF($B$5:$B$8,$B26,C$5:C$8)</f>
        <v>0</v>
      </c>
      <c r="D26">
        <f t="shared" si="1"/>
        <v>0</v>
      </c>
      <c r="E26">
        <f t="shared" si="1"/>
        <v>0</v>
      </c>
      <c r="F26">
        <f t="shared" si="1"/>
        <v>0</v>
      </c>
      <c r="G26">
        <f t="shared" si="1"/>
        <v>0</v>
      </c>
      <c r="H26">
        <f t="shared" si="1"/>
        <v>0</v>
      </c>
      <c r="I26">
        <f t="shared" si="1"/>
        <v>0</v>
      </c>
      <c r="J26">
        <f t="shared" si="1"/>
        <v>0</v>
      </c>
      <c r="K26">
        <f t="shared" si="1"/>
        <v>0</v>
      </c>
      <c r="L26">
        <f t="shared" si="1"/>
        <v>0</v>
      </c>
      <c r="M26">
        <f t="shared" si="1"/>
        <v>0</v>
      </c>
      <c r="N26">
        <f t="shared" si="1"/>
        <v>0</v>
      </c>
      <c r="O26">
        <f t="shared" si="1"/>
        <v>0</v>
      </c>
      <c r="P26">
        <f t="shared" si="1"/>
        <v>0</v>
      </c>
      <c r="Q26">
        <f>G26+H26</f>
        <v>0</v>
      </c>
      <c r="T26" s="2" t="s">
        <v>169</v>
      </c>
      <c r="U26">
        <v>4</v>
      </c>
      <c r="W26" t="s">
        <v>22</v>
      </c>
      <c r="X26">
        <v>27</v>
      </c>
    </row>
    <row r="27" spans="1:24" hidden="1" x14ac:dyDescent="0.25">
      <c r="A27">
        <v>27</v>
      </c>
      <c r="B27" s="1" t="s">
        <v>22</v>
      </c>
      <c r="C27">
        <f t="shared" ref="C27:O33" si="2">SUMIF($B$5:$B$8,$B27,C$5:C$8)</f>
        <v>0</v>
      </c>
      <c r="D27">
        <f t="shared" si="2"/>
        <v>0</v>
      </c>
      <c r="E27">
        <f t="shared" si="2"/>
        <v>0</v>
      </c>
      <c r="F27">
        <f t="shared" si="2"/>
        <v>0</v>
      </c>
      <c r="G27">
        <f t="shared" si="2"/>
        <v>0</v>
      </c>
      <c r="H27">
        <f t="shared" si="2"/>
        <v>0</v>
      </c>
      <c r="I27">
        <f t="shared" si="2"/>
        <v>0</v>
      </c>
      <c r="J27">
        <f t="shared" si="2"/>
        <v>0</v>
      </c>
      <c r="K27">
        <f t="shared" si="2"/>
        <v>0</v>
      </c>
      <c r="L27">
        <f t="shared" si="2"/>
        <v>0</v>
      </c>
      <c r="M27">
        <f t="shared" si="2"/>
        <v>0</v>
      </c>
      <c r="N27">
        <f t="shared" si="2"/>
        <v>0</v>
      </c>
      <c r="O27">
        <f t="shared" si="2"/>
        <v>0</v>
      </c>
      <c r="Q27">
        <f t="shared" ref="Q27:Q33" si="3">G27+H27</f>
        <v>0</v>
      </c>
      <c r="T27" s="2" t="s">
        <v>139</v>
      </c>
      <c r="U27">
        <v>5</v>
      </c>
      <c r="W27" t="s">
        <v>129</v>
      </c>
      <c r="X27">
        <v>28</v>
      </c>
    </row>
    <row r="28" spans="1:24" hidden="1" x14ac:dyDescent="0.25">
      <c r="A28">
        <v>28</v>
      </c>
      <c r="B28" s="1" t="s">
        <v>129</v>
      </c>
      <c r="C28">
        <f t="shared" si="2"/>
        <v>0</v>
      </c>
      <c r="D28">
        <f t="shared" si="2"/>
        <v>0</v>
      </c>
      <c r="E28">
        <f t="shared" si="2"/>
        <v>0</v>
      </c>
      <c r="F28">
        <f t="shared" si="2"/>
        <v>0</v>
      </c>
      <c r="G28">
        <f t="shared" si="2"/>
        <v>0</v>
      </c>
      <c r="H28">
        <f t="shared" si="2"/>
        <v>0</v>
      </c>
      <c r="I28">
        <f t="shared" si="2"/>
        <v>0</v>
      </c>
      <c r="J28">
        <f t="shared" si="2"/>
        <v>0</v>
      </c>
      <c r="K28">
        <f t="shared" si="2"/>
        <v>0</v>
      </c>
      <c r="L28">
        <f t="shared" si="2"/>
        <v>0</v>
      </c>
      <c r="M28">
        <f t="shared" si="2"/>
        <v>0</v>
      </c>
      <c r="N28">
        <f t="shared" si="2"/>
        <v>0</v>
      </c>
      <c r="O28">
        <f t="shared" si="2"/>
        <v>0</v>
      </c>
      <c r="Q28">
        <f t="shared" si="3"/>
        <v>0</v>
      </c>
      <c r="T28" s="2" t="s">
        <v>137</v>
      </c>
      <c r="U28">
        <v>6</v>
      </c>
      <c r="W28" t="s">
        <v>130</v>
      </c>
      <c r="X28">
        <v>29</v>
      </c>
    </row>
    <row r="29" spans="1:24" hidden="1" x14ac:dyDescent="0.25">
      <c r="A29">
        <v>29</v>
      </c>
      <c r="B29" s="1" t="s">
        <v>130</v>
      </c>
      <c r="C29">
        <f t="shared" si="2"/>
        <v>0</v>
      </c>
      <c r="D29">
        <f t="shared" si="2"/>
        <v>0</v>
      </c>
      <c r="E29">
        <f t="shared" si="2"/>
        <v>0</v>
      </c>
      <c r="F29">
        <f t="shared" si="2"/>
        <v>0</v>
      </c>
      <c r="G29">
        <f t="shared" si="2"/>
        <v>0</v>
      </c>
      <c r="H29">
        <f t="shared" si="2"/>
        <v>0</v>
      </c>
      <c r="I29">
        <f t="shared" si="2"/>
        <v>0</v>
      </c>
      <c r="J29">
        <f t="shared" si="2"/>
        <v>0</v>
      </c>
      <c r="K29">
        <f t="shared" si="2"/>
        <v>0</v>
      </c>
      <c r="L29">
        <f t="shared" si="2"/>
        <v>0</v>
      </c>
      <c r="M29">
        <f t="shared" si="2"/>
        <v>0</v>
      </c>
      <c r="N29">
        <f t="shared" si="2"/>
        <v>0</v>
      </c>
      <c r="O29">
        <f t="shared" si="2"/>
        <v>0</v>
      </c>
      <c r="Q29">
        <f t="shared" si="3"/>
        <v>0</v>
      </c>
      <c r="T29" s="2" t="s">
        <v>175</v>
      </c>
      <c r="U29">
        <v>7</v>
      </c>
      <c r="W29" t="s">
        <v>124</v>
      </c>
      <c r="X29">
        <v>30</v>
      </c>
    </row>
    <row r="30" spans="1:24" hidden="1" x14ac:dyDescent="0.25">
      <c r="A30">
        <v>30</v>
      </c>
      <c r="B30" s="1" t="s">
        <v>124</v>
      </c>
      <c r="C30">
        <f t="shared" si="2"/>
        <v>0</v>
      </c>
      <c r="D30">
        <f t="shared" si="2"/>
        <v>0</v>
      </c>
      <c r="E30">
        <f t="shared" si="2"/>
        <v>0</v>
      </c>
      <c r="F30">
        <f t="shared" si="2"/>
        <v>0</v>
      </c>
      <c r="G30">
        <f t="shared" si="2"/>
        <v>0</v>
      </c>
      <c r="H30">
        <f t="shared" si="2"/>
        <v>0</v>
      </c>
      <c r="I30">
        <f t="shared" si="2"/>
        <v>0</v>
      </c>
      <c r="J30">
        <f t="shared" si="2"/>
        <v>0</v>
      </c>
      <c r="K30">
        <f t="shared" si="2"/>
        <v>0</v>
      </c>
      <c r="L30">
        <f t="shared" si="2"/>
        <v>0</v>
      </c>
      <c r="M30">
        <f t="shared" si="2"/>
        <v>0</v>
      </c>
      <c r="N30">
        <f t="shared" si="2"/>
        <v>0</v>
      </c>
      <c r="O30">
        <f t="shared" si="2"/>
        <v>0</v>
      </c>
      <c r="Q30">
        <f t="shared" si="3"/>
        <v>0</v>
      </c>
      <c r="T30" s="2" t="s">
        <v>176</v>
      </c>
      <c r="U30">
        <v>8</v>
      </c>
      <c r="W30" t="s">
        <v>128</v>
      </c>
      <c r="X30">
        <v>31</v>
      </c>
    </row>
    <row r="31" spans="1:24" hidden="1" x14ac:dyDescent="0.25">
      <c r="A31">
        <v>31</v>
      </c>
      <c r="B31" s="1" t="s">
        <v>128</v>
      </c>
      <c r="C31">
        <f t="shared" si="2"/>
        <v>0</v>
      </c>
      <c r="D31">
        <f t="shared" si="2"/>
        <v>0</v>
      </c>
      <c r="E31">
        <f t="shared" si="2"/>
        <v>0</v>
      </c>
      <c r="F31">
        <f t="shared" si="2"/>
        <v>0</v>
      </c>
      <c r="G31">
        <f t="shared" si="2"/>
        <v>0</v>
      </c>
      <c r="H31">
        <f t="shared" si="2"/>
        <v>0</v>
      </c>
      <c r="I31">
        <f t="shared" si="2"/>
        <v>0</v>
      </c>
      <c r="J31">
        <f t="shared" si="2"/>
        <v>0</v>
      </c>
      <c r="K31">
        <f t="shared" si="2"/>
        <v>0</v>
      </c>
      <c r="L31">
        <f t="shared" si="2"/>
        <v>0</v>
      </c>
      <c r="M31">
        <f t="shared" si="2"/>
        <v>0</v>
      </c>
      <c r="N31">
        <f t="shared" si="2"/>
        <v>0</v>
      </c>
      <c r="O31">
        <f t="shared" si="2"/>
        <v>0</v>
      </c>
      <c r="Q31">
        <f t="shared" si="3"/>
        <v>0</v>
      </c>
      <c r="T31" s="2" t="s">
        <v>135</v>
      </c>
      <c r="U31">
        <v>9</v>
      </c>
      <c r="W31" t="s">
        <v>126</v>
      </c>
      <c r="X31">
        <v>32</v>
      </c>
    </row>
    <row r="32" spans="1:24" hidden="1" x14ac:dyDescent="0.25">
      <c r="A32">
        <v>32</v>
      </c>
      <c r="B32" s="1" t="s">
        <v>126</v>
      </c>
      <c r="C32">
        <f t="shared" si="2"/>
        <v>0</v>
      </c>
      <c r="D32">
        <f t="shared" si="2"/>
        <v>0</v>
      </c>
      <c r="E32">
        <f t="shared" si="2"/>
        <v>0</v>
      </c>
      <c r="F32">
        <f t="shared" si="2"/>
        <v>0</v>
      </c>
      <c r="G32">
        <f t="shared" si="2"/>
        <v>0</v>
      </c>
      <c r="H32">
        <f t="shared" si="2"/>
        <v>0</v>
      </c>
      <c r="I32">
        <f t="shared" si="2"/>
        <v>0</v>
      </c>
      <c r="J32">
        <f t="shared" si="2"/>
        <v>0</v>
      </c>
      <c r="K32">
        <f t="shared" si="2"/>
        <v>0</v>
      </c>
      <c r="L32">
        <f t="shared" si="2"/>
        <v>0</v>
      </c>
      <c r="M32">
        <f t="shared" si="2"/>
        <v>0</v>
      </c>
      <c r="N32">
        <f t="shared" si="2"/>
        <v>0</v>
      </c>
      <c r="O32">
        <f t="shared" si="2"/>
        <v>0</v>
      </c>
      <c r="Q32">
        <f t="shared" si="3"/>
        <v>0</v>
      </c>
      <c r="T32" s="2" t="s">
        <v>136</v>
      </c>
      <c r="U32">
        <v>10</v>
      </c>
      <c r="W32" t="s">
        <v>127</v>
      </c>
      <c r="X32">
        <v>33</v>
      </c>
    </row>
    <row r="33" spans="1:21" hidden="1" x14ac:dyDescent="0.25">
      <c r="A33">
        <v>33</v>
      </c>
      <c r="B33" s="1" t="s">
        <v>127</v>
      </c>
      <c r="C33">
        <f t="shared" si="2"/>
        <v>0</v>
      </c>
      <c r="D33">
        <f t="shared" si="2"/>
        <v>0</v>
      </c>
      <c r="E33">
        <f t="shared" si="2"/>
        <v>0</v>
      </c>
      <c r="F33">
        <f t="shared" si="2"/>
        <v>0</v>
      </c>
      <c r="G33">
        <f t="shared" si="2"/>
        <v>0</v>
      </c>
      <c r="H33">
        <f t="shared" si="2"/>
        <v>0</v>
      </c>
      <c r="I33">
        <f t="shared" si="2"/>
        <v>0</v>
      </c>
      <c r="J33">
        <f t="shared" si="2"/>
        <v>0</v>
      </c>
      <c r="K33">
        <f t="shared" si="2"/>
        <v>0</v>
      </c>
      <c r="L33">
        <f t="shared" si="2"/>
        <v>0</v>
      </c>
      <c r="M33">
        <f t="shared" si="2"/>
        <v>0</v>
      </c>
      <c r="N33">
        <f t="shared" si="2"/>
        <v>0</v>
      </c>
      <c r="O33">
        <f t="shared" si="2"/>
        <v>0</v>
      </c>
      <c r="Q33">
        <f t="shared" si="3"/>
        <v>0</v>
      </c>
      <c r="T33" s="2" t="s">
        <v>177</v>
      </c>
      <c r="U33">
        <v>11</v>
      </c>
    </row>
    <row r="34" spans="1:21" hidden="1" x14ac:dyDescent="0.25">
      <c r="T34" s="2" t="s">
        <v>141</v>
      </c>
      <c r="U34">
        <v>12</v>
      </c>
    </row>
    <row r="35" spans="1:21" hidden="1" x14ac:dyDescent="0.25">
      <c r="T35" s="2" t="s">
        <v>138</v>
      </c>
      <c r="U35">
        <v>13</v>
      </c>
    </row>
    <row r="36" spans="1:21" hidden="1" x14ac:dyDescent="0.25">
      <c r="T36" s="2" t="s">
        <v>134</v>
      </c>
      <c r="U36">
        <v>14</v>
      </c>
    </row>
    <row r="37" spans="1:21" hidden="1" x14ac:dyDescent="0.25">
      <c r="T37" s="2" t="s">
        <v>14</v>
      </c>
      <c r="U37">
        <v>15</v>
      </c>
    </row>
    <row r="38" spans="1:21" hidden="1" x14ac:dyDescent="0.25">
      <c r="T38" s="2" t="s">
        <v>140</v>
      </c>
      <c r="U38">
        <v>17</v>
      </c>
    </row>
  </sheetData>
  <mergeCells count="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5439CB3F-535A-4A86-AAD1-111B06917015}">
          <x14:formula1>
            <xm:f>'Calcs and References'!$A$2:$A$9</xm:f>
          </x14:formula1>
          <xm:sqref>B13:B16 B5:B8 B26:B33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8DD01-D182-493E-B50B-064745C7A36C}">
  <dimension ref="A1:W21"/>
  <sheetViews>
    <sheetView workbookViewId="0">
      <selection activeCell="P1" sqref="P1:P1048576"/>
    </sheetView>
  </sheetViews>
  <sheetFormatPr defaultRowHeight="15" x14ac:dyDescent="0.25"/>
  <cols>
    <col min="1" max="1" width="29.85546875" customWidth="1"/>
    <col min="2" max="2" width="18.7109375" customWidth="1"/>
    <col min="4" max="4" width="14.7109375" customWidth="1"/>
    <col min="16" max="16" width="9.140625" hidden="1" customWidth="1"/>
    <col min="17" max="17" width="18.85546875" customWidth="1"/>
    <col min="19" max="19" width="9.140625" customWidth="1"/>
    <col min="20" max="20" width="13.42578125" customWidth="1"/>
    <col min="21" max="21" width="14.7109375" customWidth="1"/>
    <col min="22" max="22" width="11.28515625" customWidth="1"/>
    <col min="23" max="23" width="9.140625" customWidth="1"/>
  </cols>
  <sheetData>
    <row r="1" spans="1:23" x14ac:dyDescent="0.25">
      <c r="A1" t="s">
        <v>35</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f>VLOOKUP(B5,'Calcs and References'!A$2:E$9,5,FALSE)</f>
        <v>ELEC</v>
      </c>
      <c r="T5">
        <f>VLOOKUP(B5,'Calcs and References'!A$2:E$9,4,FALSE)*O5</f>
        <v>0</v>
      </c>
      <c r="U5" t="e">
        <f>T5*1000/'Basic Info'!$D$22</f>
        <v>#DIV/0!</v>
      </c>
      <c r="V5" t="e">
        <f>U5*VLOOKUP(B5,'Calcs and References'!A$2:D$9,3,FALSE)</f>
        <v>#DIV/0!</v>
      </c>
      <c r="W5">
        <f>VLOOKUP(B5,'Calcs and References'!A$2:E$9,2,FALSE)*O5</f>
        <v>0</v>
      </c>
    </row>
    <row r="6" spans="1:23" x14ac:dyDescent="0.25">
      <c r="A6" s="1"/>
      <c r="B6" s="1" t="s">
        <v>22</v>
      </c>
      <c r="C6" s="1"/>
      <c r="D6" s="1"/>
      <c r="E6" s="1"/>
      <c r="F6" s="1"/>
      <c r="G6" s="1"/>
      <c r="H6" s="1"/>
      <c r="I6" s="1"/>
      <c r="J6" s="1"/>
      <c r="K6" s="1"/>
      <c r="L6" s="1"/>
      <c r="M6" s="1"/>
      <c r="N6" s="1"/>
      <c r="O6" s="1"/>
      <c r="P6">
        <f>SUM(C6:N6)</f>
        <v>0</v>
      </c>
      <c r="Q6" s="50" t="str">
        <f>IF(ABS(P6-O6)&lt;5," ","Sum not correct")</f>
        <v xml:space="preserve"> </v>
      </c>
      <c r="S6" t="str">
        <f>VLOOKUP(B6,'Calcs and References'!A$2:E$9,5,FALSE)</f>
        <v>FF</v>
      </c>
      <c r="T6">
        <f>VLOOKUP(B6,'Calcs and References'!A$2:E$9,4,FALSE)*O6</f>
        <v>0</v>
      </c>
      <c r="U6" t="e">
        <f>T6*1000/'Basic Info'!$D$22</f>
        <v>#DIV/0!</v>
      </c>
      <c r="V6" t="e">
        <f>U6*VLOOKUP(B6,'Calcs and References'!A$2:D$9,3,FALSE)</f>
        <v>#DIV/0!</v>
      </c>
      <c r="W6">
        <f>VLOOKUP(B6,'Calcs and References'!A$2:E$9,2,FALSE)*O6</f>
        <v>0</v>
      </c>
    </row>
    <row r="7" spans="1:23" x14ac:dyDescent="0.25">
      <c r="A7" s="1"/>
      <c r="B7" s="1"/>
      <c r="C7" s="1"/>
      <c r="D7" s="1"/>
      <c r="E7" s="1"/>
      <c r="F7" s="1"/>
      <c r="G7" s="1"/>
      <c r="H7" s="1"/>
      <c r="I7" s="1"/>
      <c r="J7" s="1"/>
      <c r="K7" s="1"/>
      <c r="L7" s="1"/>
      <c r="M7" s="1"/>
      <c r="N7" s="1"/>
      <c r="O7" s="1"/>
      <c r="P7">
        <f t="shared" ref="P7:P8" si="0">SUM(C7:N7)</f>
        <v>0</v>
      </c>
      <c r="Q7" s="50" t="str">
        <f>IF(ABS(P7-O7)&lt;5," ","Sum not correct")</f>
        <v xml:space="preserve"> </v>
      </c>
      <c r="S7" t="e">
        <f>VLOOKUP(B7,'Calcs and References'!A$2:E$9,5,FALSE)</f>
        <v>#N/A</v>
      </c>
      <c r="T7" t="e">
        <f>VLOOKUP(B7,'Calcs and References'!A$2:E$9,4,FALSE)*O7</f>
        <v>#N/A</v>
      </c>
      <c r="U7" t="e">
        <f>T7*1000/'Basic Info'!$D$22</f>
        <v>#N/A</v>
      </c>
      <c r="V7" t="e">
        <f>U7*VLOOKUP(B7,'Calcs and References'!A$2:D$9,3,FALSE)</f>
        <v>#N/A</v>
      </c>
      <c r="W7" t="e">
        <f>VLOOKUP(B7,'Calcs and References'!A$2:E$9,2,FALSE)*O7</f>
        <v>#N/A</v>
      </c>
    </row>
    <row r="8" spans="1:23" x14ac:dyDescent="0.25">
      <c r="A8" s="1"/>
      <c r="B8" s="1"/>
      <c r="C8" s="1"/>
      <c r="D8" s="1"/>
      <c r="E8" s="1"/>
      <c r="F8" s="1"/>
      <c r="G8" s="1"/>
      <c r="H8" s="1"/>
      <c r="I8" s="1"/>
      <c r="J8" s="1"/>
      <c r="K8" s="1"/>
      <c r="L8" s="1"/>
      <c r="M8" s="1"/>
      <c r="N8" s="1"/>
      <c r="O8" s="1"/>
      <c r="P8">
        <f t="shared" si="0"/>
        <v>0</v>
      </c>
      <c r="Q8" s="50" t="str">
        <f>IF(ABS(P8-O8)&lt;5," ","Sum not correct")</f>
        <v xml:space="preserve"> </v>
      </c>
      <c r="S8" t="e">
        <f>VLOOKUP(B8,'Calcs and References'!A$2:E$9,5,FALSE)</f>
        <v>#N/A</v>
      </c>
      <c r="T8" t="e">
        <f>VLOOKUP(B8,'Calcs and References'!A$2:E$9,4,FALSE)*O8</f>
        <v>#N/A</v>
      </c>
      <c r="U8" t="e">
        <f>T8*1000/'Basic Info'!$D$22</f>
        <v>#N/A</v>
      </c>
      <c r="V8" t="e">
        <f>U8*VLOOKUP(B8,'Calcs and References'!A$2:D$9,3,FALSE)</f>
        <v>#N/A</v>
      </c>
      <c r="W8" t="e">
        <f>VLOOKUP(B8,'Calcs and References'!A$2:E$9,2,FALSE)*O8</f>
        <v>#N/A</v>
      </c>
    </row>
    <row r="9" spans="1:23" x14ac:dyDescent="0.25">
      <c r="V9" t="e">
        <f>SUMIF(V5:V8,"&lt;&gt;#N/A")</f>
        <v>#DIV/0!</v>
      </c>
      <c r="W9">
        <f>SUMIF(W5:W8,"&lt;&gt;#N/A")</f>
        <v>0</v>
      </c>
    </row>
    <row r="10" spans="1:23" x14ac:dyDescent="0.25">
      <c r="T10" t="s">
        <v>69</v>
      </c>
      <c r="U10" t="s">
        <v>70</v>
      </c>
      <c r="V10" t="s">
        <v>122</v>
      </c>
    </row>
    <row r="11" spans="1:23" x14ac:dyDescent="0.25">
      <c r="A11" t="s">
        <v>25</v>
      </c>
      <c r="T11">
        <f>SUMIF(S5:S8,S2,O5:O8)</f>
        <v>0</v>
      </c>
      <c r="U11" s="27">
        <f>SUMIF(S5:S8,S2,T5:T8)</f>
        <v>0</v>
      </c>
      <c r="V11">
        <f>U11*'Calcs and References'!C2</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SUMIF(S5:S8,T2,T5:T8)</f>
        <v>0</v>
      </c>
      <c r="V13">
        <f>U13*'Calcs and References'!C3</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SUMIF(S5:S8,U2,T5:T8)</f>
        <v>0</v>
      </c>
      <c r="V15">
        <f>U15*'Calcs and References'!C6</f>
        <v>0</v>
      </c>
    </row>
    <row r="16" spans="1:23" x14ac:dyDescent="0.25">
      <c r="A16" s="1"/>
      <c r="B16" s="1"/>
      <c r="C16" s="1"/>
      <c r="D16" s="1"/>
      <c r="E16" s="1"/>
      <c r="F16" s="1"/>
      <c r="G16" s="1"/>
      <c r="H16" s="1"/>
    </row>
    <row r="17" spans="1:8" ht="30" x14ac:dyDescent="0.25">
      <c r="F17" s="3" t="s">
        <v>32</v>
      </c>
      <c r="G17" s="4" t="s">
        <v>23</v>
      </c>
      <c r="H17" s="4"/>
    </row>
    <row r="18" spans="1:8" x14ac:dyDescent="0.25">
      <c r="F18" s="1"/>
      <c r="G18" s="167" t="str">
        <f>IF(ABS(F13+F14+F15+F16-F18)&lt;5," ","Sum not correct")</f>
        <v xml:space="preserve"> </v>
      </c>
      <c r="H18" s="168"/>
    </row>
    <row r="20" spans="1:8" x14ac:dyDescent="0.25">
      <c r="A20" s="2" t="s">
        <v>37</v>
      </c>
    </row>
    <row r="21" spans="1:8" x14ac:dyDescent="0.25">
      <c r="A21" s="169"/>
      <c r="B21" s="169"/>
      <c r="C21" s="169"/>
      <c r="D21" s="169"/>
    </row>
  </sheetData>
  <mergeCells count="2">
    <mergeCell ref="A21:D2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7627A6A-A4C8-4590-BF19-1B64B99B6B3F}">
          <x14:formula1>
            <xm:f>'Calcs and References'!$A$2:$A$9</xm:f>
          </x14:formula1>
          <xm:sqref>B13:B16 B5:B8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E97DF-A554-4252-A531-51A90BA9D87E}">
  <dimension ref="A1:W21"/>
  <sheetViews>
    <sheetView workbookViewId="0">
      <selection activeCell="P1" sqref="P1:P1048576"/>
    </sheetView>
  </sheetViews>
  <sheetFormatPr defaultRowHeight="15" x14ac:dyDescent="0.25"/>
  <cols>
    <col min="1" max="1" width="29.85546875" customWidth="1"/>
    <col min="2" max="2" width="18.7109375" customWidth="1"/>
    <col min="4" max="4" width="14.7109375" customWidth="1"/>
    <col min="16" max="16" width="9.140625" hidden="1" customWidth="1"/>
    <col min="17" max="17" width="18.85546875" customWidth="1"/>
    <col min="19" max="19" width="9.140625" customWidth="1"/>
    <col min="20" max="20" width="13.42578125" customWidth="1"/>
    <col min="21" max="21" width="14.7109375" customWidth="1"/>
    <col min="22" max="22" width="11.28515625" customWidth="1"/>
    <col min="23" max="23" width="9.140625" customWidth="1"/>
  </cols>
  <sheetData>
    <row r="1" spans="1:23" x14ac:dyDescent="0.25">
      <c r="A1" t="s">
        <v>36</v>
      </c>
    </row>
    <row r="2" spans="1:23" x14ac:dyDescent="0.25">
      <c r="S2" t="s">
        <v>68</v>
      </c>
      <c r="T2" t="s">
        <v>66</v>
      </c>
      <c r="U2" t="s">
        <v>67</v>
      </c>
    </row>
    <row r="3" spans="1:23" x14ac:dyDescent="0.25">
      <c r="A3" t="s">
        <v>1</v>
      </c>
    </row>
    <row r="4" spans="1:23" ht="30" x14ac:dyDescent="0.25">
      <c r="A4" s="2" t="s">
        <v>15</v>
      </c>
      <c r="B4" s="2" t="s">
        <v>16</v>
      </c>
      <c r="C4" s="2" t="s">
        <v>2</v>
      </c>
      <c r="D4" s="3" t="s">
        <v>3</v>
      </c>
      <c r="E4" s="3" t="s">
        <v>4</v>
      </c>
      <c r="F4" s="3" t="s">
        <v>5</v>
      </c>
      <c r="G4" s="3" t="s">
        <v>6</v>
      </c>
      <c r="H4" s="3" t="s">
        <v>7</v>
      </c>
      <c r="I4" s="3" t="s">
        <v>8</v>
      </c>
      <c r="J4" s="3" t="s">
        <v>9</v>
      </c>
      <c r="K4" s="3" t="s">
        <v>10</v>
      </c>
      <c r="L4" s="3" t="s">
        <v>11</v>
      </c>
      <c r="M4" s="3" t="s">
        <v>12</v>
      </c>
      <c r="N4" s="3" t="s">
        <v>13</v>
      </c>
      <c r="O4" s="3" t="s">
        <v>14</v>
      </c>
      <c r="P4" s="2"/>
      <c r="Q4" s="3" t="s">
        <v>23</v>
      </c>
      <c r="T4" s="26" t="s">
        <v>65</v>
      </c>
      <c r="U4" t="s">
        <v>63</v>
      </c>
      <c r="V4" t="s">
        <v>64</v>
      </c>
      <c r="W4" t="s">
        <v>73</v>
      </c>
    </row>
    <row r="5" spans="1:23" x14ac:dyDescent="0.25">
      <c r="A5" s="1"/>
      <c r="B5" s="1" t="s">
        <v>21</v>
      </c>
      <c r="C5" s="1"/>
      <c r="D5" s="1"/>
      <c r="E5" s="1"/>
      <c r="F5" s="1"/>
      <c r="G5" s="1"/>
      <c r="H5" s="1"/>
      <c r="I5" s="1"/>
      <c r="J5" s="1"/>
      <c r="K5" s="1"/>
      <c r="L5" s="1"/>
      <c r="M5" s="1"/>
      <c r="N5" s="1"/>
      <c r="O5" s="1"/>
      <c r="P5">
        <f>SUM(C5:N5)</f>
        <v>0</v>
      </c>
      <c r="Q5" s="50" t="str">
        <f>IF(ABS(P5-O5)&lt;5," ","Sum not correct")</f>
        <v xml:space="preserve"> </v>
      </c>
      <c r="S5" t="str" cm="1">
        <f t="array" ref="S5:S8">VLOOKUP(B5:B8,'Calcs and References'!A2:E6,5)</f>
        <v>ELEC</v>
      </c>
      <c r="T5">
        <f>VLOOKUP(B5,'Calcs and References'!A$2:D$6,4)*O5</f>
        <v>0</v>
      </c>
      <c r="U5" t="e">
        <f>T5*1000/'Basic Info'!$D$22</f>
        <v>#DIV/0!</v>
      </c>
      <c r="V5" t="e">
        <f>U5*VLOOKUP(B5,'Calcs and References'!A$2:D$6,3)</f>
        <v>#DIV/0!</v>
      </c>
      <c r="W5">
        <f>VLOOKUP(B5,'Calcs and References'!A$2:E$6,2)*O5</f>
        <v>0</v>
      </c>
    </row>
    <row r="6" spans="1:23" x14ac:dyDescent="0.25">
      <c r="A6" s="1"/>
      <c r="B6" s="1" t="s">
        <v>22</v>
      </c>
      <c r="C6" s="1"/>
      <c r="D6" s="1"/>
      <c r="E6" s="1"/>
      <c r="F6" s="1"/>
      <c r="G6" s="1"/>
      <c r="H6" s="1"/>
      <c r="I6" s="1"/>
      <c r="J6" s="1"/>
      <c r="K6" s="1"/>
      <c r="L6" s="1"/>
      <c r="M6" s="1"/>
      <c r="N6" s="1"/>
      <c r="O6" s="1"/>
      <c r="P6">
        <f>SUM(C6:N6)</f>
        <v>0</v>
      </c>
      <c r="Q6" s="50" t="str">
        <f>IF(ABS(P6-O6)&lt;5," ","Sum not correct")</f>
        <v xml:space="preserve"> </v>
      </c>
      <c r="S6" t="str">
        <v>FF</v>
      </c>
      <c r="T6">
        <f>VLOOKUP(B6,'Calcs and References'!A$2:D$6,4)*O6</f>
        <v>0</v>
      </c>
      <c r="U6" t="e">
        <f>T6*1000/'Basic Info'!$D$22</f>
        <v>#DIV/0!</v>
      </c>
      <c r="V6" t="e">
        <f>U6*VLOOKUP(B6,'Calcs and References'!A$2:D$6,3)</f>
        <v>#DIV/0!</v>
      </c>
      <c r="W6">
        <f>VLOOKUP(B6,'Calcs and References'!A$2:E$6,2)*O6</f>
        <v>0</v>
      </c>
    </row>
    <row r="7" spans="1:23" x14ac:dyDescent="0.25">
      <c r="A7" s="1"/>
      <c r="B7" s="1"/>
      <c r="C7" s="1"/>
      <c r="D7" s="1"/>
      <c r="E7" s="1"/>
      <c r="F7" s="1"/>
      <c r="G7" s="1"/>
      <c r="H7" s="1"/>
      <c r="I7" s="1"/>
      <c r="J7" s="1"/>
      <c r="K7" s="1"/>
      <c r="L7" s="1"/>
      <c r="M7" s="1"/>
      <c r="N7" s="1"/>
      <c r="O7" s="1"/>
      <c r="P7">
        <f t="shared" ref="P7:P8" si="0">SUM(C7:N7)</f>
        <v>0</v>
      </c>
      <c r="Q7" s="50" t="str">
        <f>IF(ABS(P7-O7)&lt;5," ","Sum not correct")</f>
        <v xml:space="preserve"> </v>
      </c>
      <c r="S7" t="e">
        <v>#N/A</v>
      </c>
      <c r="T7" t="e">
        <f>VLOOKUP(B7,'Calcs and References'!A$2:D$6,4)*O7</f>
        <v>#N/A</v>
      </c>
      <c r="U7" t="e">
        <f>T7*1000/'Basic Info'!$D$22</f>
        <v>#N/A</v>
      </c>
      <c r="V7" t="e">
        <f>U7*VLOOKUP(B7,'Calcs and References'!A$2:D$6,3)</f>
        <v>#N/A</v>
      </c>
      <c r="W7" t="e">
        <f>VLOOKUP(B7,'Calcs and References'!A$2:E$6,2)*O7</f>
        <v>#N/A</v>
      </c>
    </row>
    <row r="8" spans="1:23" x14ac:dyDescent="0.25">
      <c r="A8" s="1"/>
      <c r="B8" s="1"/>
      <c r="C8" s="1"/>
      <c r="D8" s="1"/>
      <c r="E8" s="1"/>
      <c r="F8" s="1"/>
      <c r="G8" s="1"/>
      <c r="H8" s="1"/>
      <c r="I8" s="1"/>
      <c r="J8" s="1"/>
      <c r="K8" s="1"/>
      <c r="L8" s="1"/>
      <c r="M8" s="1"/>
      <c r="N8" s="1"/>
      <c r="O8" s="1"/>
      <c r="P8">
        <f t="shared" si="0"/>
        <v>0</v>
      </c>
      <c r="Q8" s="50" t="str">
        <f>IF(ABS(P8-O8)&lt;5," ","Sum not correct")</f>
        <v xml:space="preserve"> </v>
      </c>
      <c r="S8" t="e">
        <v>#N/A</v>
      </c>
      <c r="T8" t="e">
        <f>VLOOKUP(B8,'Calcs and References'!A$2:D$6,4)*O8</f>
        <v>#N/A</v>
      </c>
      <c r="U8" t="e">
        <f>T8*1000/'Basic Info'!$D$22</f>
        <v>#N/A</v>
      </c>
      <c r="V8" t="e">
        <f>U8*VLOOKUP(B8,'Calcs and References'!A$2:D$6,3)</f>
        <v>#N/A</v>
      </c>
      <c r="W8" t="e">
        <f>VLOOKUP(B8,'Calcs and References'!A$2:E$6,2)*O8</f>
        <v>#N/A</v>
      </c>
    </row>
    <row r="9" spans="1:23" x14ac:dyDescent="0.25">
      <c r="V9" t="e">
        <f>SUMIF(V5:V8,"&lt;&gt;#N/A")</f>
        <v>#DIV/0!</v>
      </c>
      <c r="W9">
        <f>SUMIF(W5:W8,"&lt;&gt;#N/A")</f>
        <v>0</v>
      </c>
    </row>
    <row r="10" spans="1:23" x14ac:dyDescent="0.25">
      <c r="T10" t="s">
        <v>69</v>
      </c>
      <c r="U10" t="s">
        <v>70</v>
      </c>
    </row>
    <row r="11" spans="1:23" x14ac:dyDescent="0.25">
      <c r="A11" t="s">
        <v>25</v>
      </c>
      <c r="T11">
        <f>SUMIF(_xlfn.ANCHORARRAY(S5),S2,O5:O8)</f>
        <v>0</v>
      </c>
      <c r="U11" s="27">
        <f>SUMIF(_xlfn.ANCHORARRAY(S5),S2,T5:T8)</f>
        <v>0</v>
      </c>
    </row>
    <row r="12" spans="1:23" ht="45" x14ac:dyDescent="0.25">
      <c r="A12" s="2" t="s">
        <v>26</v>
      </c>
      <c r="B12" s="2" t="s">
        <v>27</v>
      </c>
      <c r="C12" s="2" t="s">
        <v>33</v>
      </c>
      <c r="D12" s="3" t="s">
        <v>28</v>
      </c>
      <c r="E12" s="3" t="s">
        <v>123</v>
      </c>
      <c r="F12" s="3" t="s">
        <v>29</v>
      </c>
      <c r="G12" s="3" t="s">
        <v>30</v>
      </c>
      <c r="H12" s="3" t="s">
        <v>31</v>
      </c>
      <c r="U12" t="s">
        <v>71</v>
      </c>
    </row>
    <row r="13" spans="1:23" x14ac:dyDescent="0.25">
      <c r="A13" s="1"/>
      <c r="B13" s="1" t="s">
        <v>21</v>
      </c>
      <c r="C13" s="1"/>
      <c r="D13" s="1"/>
      <c r="E13" s="1"/>
      <c r="F13" s="1"/>
      <c r="G13" s="1"/>
      <c r="H13" s="1"/>
      <c r="U13">
        <f>SUMIF(_xlfn.ANCHORARRAY(S5),T2,T5:T8)</f>
        <v>0</v>
      </c>
    </row>
    <row r="14" spans="1:23" x14ac:dyDescent="0.25">
      <c r="A14" s="1"/>
      <c r="B14" s="1" t="s">
        <v>22</v>
      </c>
      <c r="C14" s="1"/>
      <c r="D14" s="1"/>
      <c r="E14" s="1"/>
      <c r="F14" s="1"/>
      <c r="G14" s="1"/>
      <c r="H14" s="1"/>
      <c r="U14" t="s">
        <v>72</v>
      </c>
    </row>
    <row r="15" spans="1:23" x14ac:dyDescent="0.25">
      <c r="A15" s="1"/>
      <c r="B15" s="1"/>
      <c r="C15" s="1"/>
      <c r="D15" s="1"/>
      <c r="E15" s="1"/>
      <c r="F15" s="1"/>
      <c r="G15" s="1"/>
      <c r="H15" s="1"/>
      <c r="U15">
        <f>SUMIF(_xlfn.ANCHORARRAY(S5),U2,T5:T8)</f>
        <v>0</v>
      </c>
    </row>
    <row r="16" spans="1:23" x14ac:dyDescent="0.25">
      <c r="A16" s="1"/>
      <c r="B16" s="1"/>
      <c r="C16" s="1"/>
      <c r="D16" s="1"/>
      <c r="E16" s="1"/>
      <c r="F16" s="1"/>
      <c r="G16" s="1"/>
      <c r="H16" s="1"/>
    </row>
    <row r="17" spans="1:8" ht="30" x14ac:dyDescent="0.25">
      <c r="F17" s="3" t="s">
        <v>32</v>
      </c>
      <c r="G17" s="4" t="s">
        <v>23</v>
      </c>
      <c r="H17" s="4"/>
    </row>
    <row r="18" spans="1:8" x14ac:dyDescent="0.25">
      <c r="F18" s="1"/>
      <c r="G18" s="167" t="str">
        <f>IF(ABS(F13+F14+F15+F16-F18)&lt;5," ","Sum not correct")</f>
        <v xml:space="preserve"> </v>
      </c>
      <c r="H18" s="168"/>
    </row>
    <row r="20" spans="1:8" x14ac:dyDescent="0.25">
      <c r="A20" s="2" t="s">
        <v>37</v>
      </c>
    </row>
    <row r="21" spans="1:8" x14ac:dyDescent="0.25">
      <c r="A21" s="169"/>
      <c r="B21" s="169"/>
      <c r="C21" s="169"/>
      <c r="D21" s="169"/>
    </row>
  </sheetData>
  <mergeCells count="2">
    <mergeCell ref="A21:D21"/>
    <mergeCell ref="G18:H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4EB8E36-BC0B-4BA3-8FE2-EE15879CDAA2}">
          <x14:formula1>
            <xm:f>'Calcs and References'!$A$2:$A$9</xm:f>
          </x14:formula1>
          <xm:sqref>B13:B16 B5:B8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Basic Info</vt:lpstr>
      <vt:lpstr>Results</vt:lpstr>
      <vt:lpstr>Capital Planning Information</vt:lpstr>
      <vt:lpstr>Calcs and References</vt:lpstr>
      <vt:lpstr>Proposed Design</vt:lpstr>
      <vt:lpstr>LL51 Baseline</vt:lpstr>
      <vt:lpstr>Existing Building Baseline</vt:lpstr>
      <vt:lpstr>EEM1</vt:lpstr>
      <vt:lpstr>EEM2</vt:lpstr>
      <vt:lpstr>EEM3</vt:lpstr>
      <vt:lpstr>EEM4</vt:lpstr>
      <vt:lpstr>EEM5</vt:lpstr>
      <vt:lpstr>EEM6</vt:lpstr>
      <vt:lpstr>EEM7</vt:lpstr>
      <vt:lpstr>EEM8</vt:lpstr>
      <vt:lpstr>EEM9</vt:lpstr>
      <vt:lpstr>EEM10</vt:lpstr>
      <vt:lpstr>EEM11</vt:lpstr>
      <vt:lpstr>EEM12</vt:lpstr>
      <vt:lpstr>EEM13</vt:lpstr>
      <vt:lpstr>EEM14</vt:lpstr>
      <vt:lpstr>EEM15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Ransom</dc:creator>
  <cp:lastModifiedBy>Andrew Chin</cp:lastModifiedBy>
  <cp:lastPrinted>2023-08-21T22:28:11Z</cp:lastPrinted>
  <dcterms:created xsi:type="dcterms:W3CDTF">2023-08-21T21:38:58Z</dcterms:created>
  <dcterms:modified xsi:type="dcterms:W3CDTF">2024-04-19T13:22:03Z</dcterms:modified>
</cp:coreProperties>
</file>