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aehc-my.sharepoint.com/personal/ransom_burgess_socotec_us/Documents/SCA Templates/Electrification Reporting Template/10-19 update/"/>
    </mc:Choice>
  </mc:AlternateContent>
  <xr:revisionPtr revIDLastSave="75" documentId="8_{8FDDBD0E-17D3-4E94-A243-6CCCBB71C534}" xr6:coauthVersionLast="47" xr6:coauthVersionMax="47" xr10:uidLastSave="{56048B7C-3FBE-414B-912E-7303543DCF20}"/>
  <bookViews>
    <workbookView xWindow="-120" yWindow="-120" windowWidth="29040" windowHeight="16440" activeTab="2" xr2:uid="{E7078B37-A2A4-4AEA-B3FD-D42CCCB63A60}"/>
  </bookViews>
  <sheets>
    <sheet name="Basic Info" sheetId="9" r:id="rId1"/>
    <sheet name="Results" sheetId="1" r:id="rId2"/>
    <sheet name="Capital Planning Information" sheetId="24" r:id="rId3"/>
    <sheet name="Calcs and References" sheetId="5" r:id="rId4"/>
    <sheet name="Proposed Design" sheetId="2" r:id="rId5"/>
    <sheet name="Existing Building Baseline" sheetId="6" r:id="rId6"/>
    <sheet name="EEM1" sheetId="7" r:id="rId7"/>
    <sheet name="EEM2" sheetId="10" r:id="rId8"/>
    <sheet name="EEM3" sheetId="11" r:id="rId9"/>
    <sheet name="EEM4" sheetId="12" r:id="rId10"/>
    <sheet name="EEM5" sheetId="13" r:id="rId11"/>
    <sheet name="EEM6" sheetId="14" r:id="rId12"/>
    <sheet name="EEM7" sheetId="15" r:id="rId13"/>
    <sheet name="EEM8" sheetId="16" r:id="rId14"/>
    <sheet name="EEM9" sheetId="17" r:id="rId15"/>
    <sheet name="EEM10" sheetId="18" r:id="rId16"/>
    <sheet name="EEM11" sheetId="19" r:id="rId17"/>
    <sheet name="EEM12" sheetId="20" r:id="rId18"/>
    <sheet name="EEM13" sheetId="21" r:id="rId19"/>
    <sheet name="EEM14" sheetId="22" r:id="rId20"/>
    <sheet name="EEM15" sheetId="23"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24" l="1"/>
  <c r="I3" i="24"/>
  <c r="H3" i="24"/>
  <c r="G3" i="24"/>
  <c r="F3" i="24"/>
  <c r="E3" i="24"/>
  <c r="D3" i="24"/>
  <c r="P7" i="6"/>
  <c r="Q7" i="6" s="1"/>
  <c r="M3" i="24"/>
  <c r="L3" i="24"/>
  <c r="K3" i="24"/>
  <c r="C3" i="24"/>
  <c r="B3" i="24"/>
  <c r="N37" i="1"/>
  <c r="N38" i="1"/>
  <c r="N39" i="1"/>
  <c r="N40" i="1"/>
  <c r="N41" i="1"/>
  <c r="N42" i="1"/>
  <c r="N43" i="1"/>
  <c r="N25" i="1"/>
  <c r="N26" i="1"/>
  <c r="N27" i="1"/>
  <c r="N28" i="1"/>
  <c r="N29" i="1"/>
  <c r="N30" i="1"/>
  <c r="N31" i="1"/>
  <c r="N32" i="1"/>
  <c r="N33" i="1"/>
  <c r="N34" i="1"/>
  <c r="N35" i="1"/>
  <c r="N36" i="1"/>
  <c r="N24" i="1"/>
  <c r="L36" i="1"/>
  <c r="K19" i="1"/>
  <c r="K18" i="1"/>
  <c r="K17" i="1"/>
  <c r="K16" i="1"/>
  <c r="K15" i="1"/>
  <c r="K14" i="1"/>
  <c r="K13" i="1"/>
  <c r="K12" i="1"/>
  <c r="K11" i="1"/>
  <c r="K10" i="1"/>
  <c r="K9" i="1"/>
  <c r="K8" i="1"/>
  <c r="O19" i="1" l="1"/>
  <c r="O17" i="1"/>
  <c r="O18" i="1"/>
  <c r="O16" i="1"/>
  <c r="O15" i="1"/>
  <c r="O14" i="1"/>
  <c r="O13" i="1"/>
  <c r="O12" i="1"/>
  <c r="O11" i="1"/>
  <c r="O10" i="1"/>
  <c r="O9" i="1"/>
  <c r="O8" i="1"/>
  <c r="B9" i="5"/>
  <c r="B8" i="5"/>
  <c r="B5" i="5"/>
  <c r="B4" i="5"/>
  <c r="B3" i="5"/>
  <c r="B2" i="5"/>
  <c r="M36" i="1" l="1"/>
  <c r="F15" i="2"/>
  <c r="F14" i="2"/>
  <c r="F13" i="2"/>
  <c r="P8" i="2"/>
  <c r="Q8" i="2" s="1"/>
  <c r="Q7" i="2"/>
  <c r="P7" i="2"/>
  <c r="Q6" i="2"/>
  <c r="P6" i="2"/>
  <c r="P5" i="2"/>
  <c r="Q5" i="2" s="1"/>
  <c r="O5" i="2"/>
  <c r="M35" i="1"/>
  <c r="M34" i="1"/>
  <c r="M33" i="1"/>
  <c r="M32" i="1"/>
  <c r="M31" i="1"/>
  <c r="M30" i="1"/>
  <c r="M29" i="1"/>
  <c r="M28" i="1"/>
  <c r="M27" i="1"/>
  <c r="M26" i="1"/>
  <c r="M25" i="1"/>
  <c r="L29" i="1"/>
  <c r="D24" i="1"/>
  <c r="W5" i="2"/>
  <c r="E4" i="1"/>
  <c r="E6" i="1"/>
  <c r="F15" i="11"/>
  <c r="F14" i="11"/>
  <c r="F13" i="11"/>
  <c r="Q8" i="11"/>
  <c r="P8" i="11"/>
  <c r="Q7" i="11"/>
  <c r="P7" i="11"/>
  <c r="P6" i="11"/>
  <c r="Q6" i="11" s="1"/>
  <c r="P5" i="11"/>
  <c r="O5" i="11"/>
  <c r="W5" i="11" s="1"/>
  <c r="P6" i="7"/>
  <c r="Q6" i="7" s="1"/>
  <c r="P6" i="10"/>
  <c r="F14" i="10"/>
  <c r="F15" i="10"/>
  <c r="F13" i="10"/>
  <c r="P8" i="10"/>
  <c r="Q8" i="10" s="1"/>
  <c r="Q7" i="10"/>
  <c r="P7" i="10"/>
  <c r="Q6" i="10"/>
  <c r="P5" i="10"/>
  <c r="O5" i="10"/>
  <c r="Q5" i="10" s="1"/>
  <c r="F18" i="7"/>
  <c r="F13" i="7"/>
  <c r="F15" i="7"/>
  <c r="O5" i="7"/>
  <c r="T5" i="7" s="1"/>
  <c r="U5" i="7" s="1"/>
  <c r="V5" i="7" s="1"/>
  <c r="F18" i="6"/>
  <c r="O5" i="6"/>
  <c r="W5" i="6" s="1"/>
  <c r="G18" i="6"/>
  <c r="P8" i="6"/>
  <c r="Q8" i="6" s="1"/>
  <c r="P6" i="6"/>
  <c r="Q6" i="6" s="1"/>
  <c r="P5" i="6"/>
  <c r="F18" i="18"/>
  <c r="P8" i="18"/>
  <c r="P7" i="18"/>
  <c r="P6" i="18"/>
  <c r="Q5" i="18"/>
  <c r="P5" i="18"/>
  <c r="F18" i="17"/>
  <c r="P8" i="17"/>
  <c r="P7" i="17"/>
  <c r="P6" i="17"/>
  <c r="P5" i="17"/>
  <c r="Q5" i="17" s="1"/>
  <c r="F18" i="16"/>
  <c r="P8" i="16"/>
  <c r="P7" i="16"/>
  <c r="P6" i="16"/>
  <c r="P5" i="16"/>
  <c r="Q5" i="16" s="1"/>
  <c r="F18" i="15"/>
  <c r="P8" i="15"/>
  <c r="P7" i="15"/>
  <c r="P6" i="15"/>
  <c r="Q5" i="15"/>
  <c r="P5" i="15"/>
  <c r="F18" i="14"/>
  <c r="P8" i="14"/>
  <c r="P7" i="14"/>
  <c r="P6" i="14"/>
  <c r="P5" i="14"/>
  <c r="Q5" i="14" s="1"/>
  <c r="F18" i="13"/>
  <c r="P8" i="13"/>
  <c r="P7" i="13"/>
  <c r="P6" i="13"/>
  <c r="Q5" i="13"/>
  <c r="P5" i="13"/>
  <c r="F18" i="12"/>
  <c r="P8" i="12"/>
  <c r="P7" i="12"/>
  <c r="P6" i="12"/>
  <c r="Q5" i="12"/>
  <c r="P5" i="12"/>
  <c r="W8" i="23"/>
  <c r="T8" i="23"/>
  <c r="U8" i="23" s="1"/>
  <c r="V8" i="23" s="1"/>
  <c r="S8" i="23"/>
  <c r="W7" i="23"/>
  <c r="T7" i="23"/>
  <c r="U7" i="23" s="1"/>
  <c r="V7" i="23" s="1"/>
  <c r="S7" i="23"/>
  <c r="W6" i="23"/>
  <c r="T6" i="23"/>
  <c r="U6" i="23" s="1"/>
  <c r="V6" i="23" s="1"/>
  <c r="S6" i="23"/>
  <c r="W5" i="23"/>
  <c r="T5" i="23"/>
  <c r="U5" i="23" s="1"/>
  <c r="V5" i="23" s="1"/>
  <c r="S5" i="23"/>
  <c r="W8" i="22"/>
  <c r="T8" i="22"/>
  <c r="U8" i="22" s="1"/>
  <c r="V8" i="22" s="1"/>
  <c r="S8" i="22"/>
  <c r="W7" i="22"/>
  <c r="T7" i="22"/>
  <c r="U7" i="22" s="1"/>
  <c r="V7" i="22" s="1"/>
  <c r="S7" i="22"/>
  <c r="W6" i="22"/>
  <c r="T6" i="22"/>
  <c r="U6" i="22" s="1"/>
  <c r="V6" i="22" s="1"/>
  <c r="S6" i="22"/>
  <c r="W5" i="22"/>
  <c r="T5" i="22"/>
  <c r="U5" i="22" s="1"/>
  <c r="V5" i="22" s="1"/>
  <c r="S5" i="22"/>
  <c r="W8" i="21"/>
  <c r="T8" i="21"/>
  <c r="U8" i="21" s="1"/>
  <c r="V8" i="21" s="1"/>
  <c r="S8" i="21"/>
  <c r="W7" i="21"/>
  <c r="T7" i="21"/>
  <c r="U7" i="21" s="1"/>
  <c r="V7" i="21" s="1"/>
  <c r="S7" i="21"/>
  <c r="W6" i="21"/>
  <c r="T6" i="21"/>
  <c r="U6" i="21" s="1"/>
  <c r="V6" i="21" s="1"/>
  <c r="S6" i="21"/>
  <c r="W5" i="21"/>
  <c r="T5" i="21"/>
  <c r="U5" i="21" s="1"/>
  <c r="V5" i="21" s="1"/>
  <c r="S5" i="21"/>
  <c r="W8" i="20"/>
  <c r="T8" i="20"/>
  <c r="U8" i="20" s="1"/>
  <c r="V8" i="20" s="1"/>
  <c r="S8" i="20"/>
  <c r="W7" i="20"/>
  <c r="T7" i="20"/>
  <c r="U7" i="20" s="1"/>
  <c r="V7" i="20" s="1"/>
  <c r="S7" i="20"/>
  <c r="W6" i="20"/>
  <c r="T6" i="20"/>
  <c r="U6" i="20" s="1"/>
  <c r="V6" i="20" s="1"/>
  <c r="S6" i="20"/>
  <c r="W5" i="20"/>
  <c r="T5" i="20"/>
  <c r="U5" i="20" s="1"/>
  <c r="V5" i="20" s="1"/>
  <c r="S5" i="20"/>
  <c r="W8" i="19"/>
  <c r="T8" i="19"/>
  <c r="U8" i="19" s="1"/>
  <c r="V8" i="19" s="1"/>
  <c r="S8" i="19"/>
  <c r="W7" i="19"/>
  <c r="T7" i="19"/>
  <c r="U7" i="19" s="1"/>
  <c r="V7" i="19" s="1"/>
  <c r="S7" i="19"/>
  <c r="W6" i="19"/>
  <c r="T6" i="19"/>
  <c r="U6" i="19" s="1"/>
  <c r="V6" i="19" s="1"/>
  <c r="S6" i="19"/>
  <c r="W5" i="19"/>
  <c r="T5" i="19"/>
  <c r="U5" i="19" s="1"/>
  <c r="V5" i="19" s="1"/>
  <c r="S5" i="19"/>
  <c r="W8" i="18"/>
  <c r="T8" i="18"/>
  <c r="U8" i="18" s="1"/>
  <c r="V8" i="18" s="1"/>
  <c r="S8" i="18"/>
  <c r="W7" i="18"/>
  <c r="T7" i="18"/>
  <c r="U7" i="18" s="1"/>
  <c r="V7" i="18" s="1"/>
  <c r="S7" i="18"/>
  <c r="W6" i="18"/>
  <c r="T6" i="18"/>
  <c r="U6" i="18" s="1"/>
  <c r="V6" i="18" s="1"/>
  <c r="S6" i="18"/>
  <c r="W5" i="18"/>
  <c r="T5" i="18"/>
  <c r="U5" i="18" s="1"/>
  <c r="V5" i="18" s="1"/>
  <c r="S5" i="18"/>
  <c r="W8" i="17"/>
  <c r="W9" i="17" s="1"/>
  <c r="T8" i="17"/>
  <c r="U8" i="17" s="1"/>
  <c r="V8" i="17" s="1"/>
  <c r="S8" i="17"/>
  <c r="W7" i="17"/>
  <c r="T7" i="17"/>
  <c r="U7" i="17" s="1"/>
  <c r="V7" i="17" s="1"/>
  <c r="S7" i="17"/>
  <c r="W6" i="17"/>
  <c r="T6" i="17"/>
  <c r="U6" i="17" s="1"/>
  <c r="V6" i="17" s="1"/>
  <c r="S6" i="17"/>
  <c r="T11" i="17" s="1"/>
  <c r="W5" i="17"/>
  <c r="T5" i="17"/>
  <c r="U5" i="17" s="1"/>
  <c r="V5" i="17" s="1"/>
  <c r="S5" i="17"/>
  <c r="W8" i="16"/>
  <c r="T8" i="16"/>
  <c r="U8" i="16" s="1"/>
  <c r="V8" i="16" s="1"/>
  <c r="S8" i="16"/>
  <c r="W7" i="16"/>
  <c r="T7" i="16"/>
  <c r="U7" i="16" s="1"/>
  <c r="V7" i="16" s="1"/>
  <c r="S7" i="16"/>
  <c r="W6" i="16"/>
  <c r="T6" i="16"/>
  <c r="U6" i="16" s="1"/>
  <c r="V6" i="16" s="1"/>
  <c r="S6" i="16"/>
  <c r="W5" i="16"/>
  <c r="W9" i="16" s="1"/>
  <c r="T5" i="16"/>
  <c r="U5" i="16" s="1"/>
  <c r="V5" i="16" s="1"/>
  <c r="S5" i="16"/>
  <c r="W8" i="15"/>
  <c r="T8" i="15"/>
  <c r="U8" i="15" s="1"/>
  <c r="V8" i="15" s="1"/>
  <c r="S8" i="15"/>
  <c r="W7" i="15"/>
  <c r="T7" i="15"/>
  <c r="U7" i="15" s="1"/>
  <c r="V7" i="15" s="1"/>
  <c r="S7" i="15"/>
  <c r="W6" i="15"/>
  <c r="T6" i="15"/>
  <c r="U6" i="15" s="1"/>
  <c r="V6" i="15" s="1"/>
  <c r="S6" i="15"/>
  <c r="W5" i="15"/>
  <c r="T5" i="15"/>
  <c r="U5" i="15" s="1"/>
  <c r="V5" i="15" s="1"/>
  <c r="S5" i="15"/>
  <c r="W8" i="14"/>
  <c r="T8" i="14"/>
  <c r="U8" i="14" s="1"/>
  <c r="V8" i="14" s="1"/>
  <c r="S8" i="14"/>
  <c r="W7" i="14"/>
  <c r="T7" i="14"/>
  <c r="U7" i="14" s="1"/>
  <c r="V7" i="14" s="1"/>
  <c r="S7" i="14"/>
  <c r="W6" i="14"/>
  <c r="T6" i="14"/>
  <c r="U6" i="14" s="1"/>
  <c r="V6" i="14" s="1"/>
  <c r="S6" i="14"/>
  <c r="W5" i="14"/>
  <c r="T5" i="14"/>
  <c r="U5" i="14" s="1"/>
  <c r="V5" i="14" s="1"/>
  <c r="S5" i="14"/>
  <c r="W8" i="13"/>
  <c r="T8" i="13"/>
  <c r="U8" i="13" s="1"/>
  <c r="V8" i="13" s="1"/>
  <c r="S8" i="13"/>
  <c r="W7" i="13"/>
  <c r="T7" i="13"/>
  <c r="U7" i="13" s="1"/>
  <c r="V7" i="13" s="1"/>
  <c r="S7" i="13"/>
  <c r="W6" i="13"/>
  <c r="T6" i="13"/>
  <c r="U6" i="13" s="1"/>
  <c r="V6" i="13" s="1"/>
  <c r="S6" i="13"/>
  <c r="W5" i="13"/>
  <c r="T5" i="13"/>
  <c r="U5" i="13" s="1"/>
  <c r="V5" i="13" s="1"/>
  <c r="S5" i="13"/>
  <c r="W8" i="12"/>
  <c r="T8" i="12"/>
  <c r="U8" i="12" s="1"/>
  <c r="V8" i="12" s="1"/>
  <c r="S8" i="12"/>
  <c r="W7" i="12"/>
  <c r="T7" i="12"/>
  <c r="U7" i="12" s="1"/>
  <c r="V7" i="12" s="1"/>
  <c r="S7" i="12"/>
  <c r="W6" i="12"/>
  <c r="T6" i="12"/>
  <c r="U6" i="12" s="1"/>
  <c r="V6" i="12" s="1"/>
  <c r="S6" i="12"/>
  <c r="W5" i="12"/>
  <c r="W9" i="12" s="1"/>
  <c r="T5" i="12"/>
  <c r="U5" i="12" s="1"/>
  <c r="V5" i="12" s="1"/>
  <c r="V9" i="12" s="1"/>
  <c r="S5" i="12"/>
  <c r="W8" i="11"/>
  <c r="T8" i="11"/>
  <c r="U8" i="11" s="1"/>
  <c r="V8" i="11" s="1"/>
  <c r="S8" i="11"/>
  <c r="W7" i="11"/>
  <c r="T7" i="11"/>
  <c r="U7" i="11" s="1"/>
  <c r="V7" i="11" s="1"/>
  <c r="S7" i="11"/>
  <c r="W6" i="11"/>
  <c r="T6" i="11"/>
  <c r="U6" i="11" s="1"/>
  <c r="V6" i="11" s="1"/>
  <c r="S6" i="11"/>
  <c r="S5" i="11"/>
  <c r="W8" i="10"/>
  <c r="T8" i="10"/>
  <c r="U8" i="10" s="1"/>
  <c r="V8" i="10" s="1"/>
  <c r="S8" i="10"/>
  <c r="W7" i="10"/>
  <c r="T7" i="10"/>
  <c r="U7" i="10" s="1"/>
  <c r="V7" i="10" s="1"/>
  <c r="S7" i="10"/>
  <c r="W6" i="10"/>
  <c r="T6" i="10"/>
  <c r="U6" i="10" s="1"/>
  <c r="V6" i="10" s="1"/>
  <c r="S6" i="10"/>
  <c r="T5" i="10"/>
  <c r="U5" i="10" s="1"/>
  <c r="V5" i="10" s="1"/>
  <c r="S5" i="10"/>
  <c r="W8" i="7"/>
  <c r="U8" i="7"/>
  <c r="V8" i="7" s="1"/>
  <c r="T8" i="7"/>
  <c r="S8" i="7"/>
  <c r="W7" i="7"/>
  <c r="T7" i="7"/>
  <c r="U7" i="7" s="1"/>
  <c r="V7" i="7" s="1"/>
  <c r="S7" i="7"/>
  <c r="W6" i="7"/>
  <c r="T6" i="7"/>
  <c r="U6" i="7" s="1"/>
  <c r="V6" i="7" s="1"/>
  <c r="S6" i="7"/>
  <c r="W5" i="7"/>
  <c r="S5" i="7"/>
  <c r="W8" i="2"/>
  <c r="T8" i="2"/>
  <c r="U8" i="2" s="1"/>
  <c r="V8" i="2" s="1"/>
  <c r="S8" i="2"/>
  <c r="W7" i="2"/>
  <c r="T7" i="2"/>
  <c r="U7" i="2" s="1"/>
  <c r="V7" i="2" s="1"/>
  <c r="S7" i="2"/>
  <c r="W6" i="2"/>
  <c r="T6" i="2"/>
  <c r="U6" i="2" s="1"/>
  <c r="V6" i="2" s="1"/>
  <c r="S6" i="2"/>
  <c r="T5" i="2"/>
  <c r="U5" i="2" s="1"/>
  <c r="V5" i="2" s="1"/>
  <c r="S5" i="2"/>
  <c r="W6" i="6"/>
  <c r="W7" i="6"/>
  <c r="W8" i="6"/>
  <c r="T6" i="6"/>
  <c r="T7" i="6"/>
  <c r="U7" i="6" s="1"/>
  <c r="V7" i="6" s="1"/>
  <c r="T8" i="6"/>
  <c r="S6" i="6"/>
  <c r="S7" i="6"/>
  <c r="S8" i="6"/>
  <c r="S5" i="6"/>
  <c r="M24" i="1"/>
  <c r="L35" i="1"/>
  <c r="L34" i="1"/>
  <c r="L33" i="1"/>
  <c r="L32" i="1"/>
  <c r="L31" i="1"/>
  <c r="L30" i="1"/>
  <c r="L28" i="1"/>
  <c r="L27" i="1"/>
  <c r="L26" i="1"/>
  <c r="L25" i="1"/>
  <c r="L24" i="1"/>
  <c r="L19" i="1"/>
  <c r="L18" i="1"/>
  <c r="L17" i="1"/>
  <c r="L16" i="1"/>
  <c r="L15" i="1"/>
  <c r="L14" i="1"/>
  <c r="L13" i="1"/>
  <c r="L12" i="1"/>
  <c r="L11" i="1"/>
  <c r="L10" i="1"/>
  <c r="L9" i="1"/>
  <c r="L8" i="1"/>
  <c r="M19" i="1"/>
  <c r="M18" i="1"/>
  <c r="M17" i="1"/>
  <c r="M16" i="1"/>
  <c r="M15" i="1"/>
  <c r="M14" i="1"/>
  <c r="M13" i="1"/>
  <c r="M12" i="1"/>
  <c r="M11" i="1"/>
  <c r="M10" i="1"/>
  <c r="M9" i="1"/>
  <c r="M8" i="1"/>
  <c r="E9" i="1"/>
  <c r="F19" i="1"/>
  <c r="C19" i="1"/>
  <c r="I19" i="1" s="1"/>
  <c r="C18" i="1"/>
  <c r="C17" i="1"/>
  <c r="J17" i="1" s="1"/>
  <c r="C16" i="1"/>
  <c r="G16" i="1" s="1"/>
  <c r="C15" i="1"/>
  <c r="F15" i="1" s="1"/>
  <c r="C14" i="1"/>
  <c r="D14" i="1" s="1"/>
  <c r="C13" i="1"/>
  <c r="E13" i="1" s="1"/>
  <c r="C12" i="1"/>
  <c r="C11" i="1"/>
  <c r="I11" i="1" s="1"/>
  <c r="C10" i="1"/>
  <c r="C9" i="1"/>
  <c r="J9" i="1" s="1"/>
  <c r="C8" i="1"/>
  <c r="G8" i="1" s="1"/>
  <c r="C7" i="1"/>
  <c r="F18" i="23"/>
  <c r="P8" i="23"/>
  <c r="Q8" i="23" s="1"/>
  <c r="P7" i="23"/>
  <c r="Q7" i="23" s="1"/>
  <c r="Q6" i="23"/>
  <c r="P6" i="23"/>
  <c r="Q5" i="23"/>
  <c r="P5" i="23"/>
  <c r="F18" i="22"/>
  <c r="P8" i="22"/>
  <c r="Q8" i="22" s="1"/>
  <c r="P7" i="22"/>
  <c r="Q7" i="22" s="1"/>
  <c r="Q6" i="22"/>
  <c r="P6" i="22"/>
  <c r="Q5" i="22"/>
  <c r="P5" i="22"/>
  <c r="F18" i="21"/>
  <c r="P8" i="21"/>
  <c r="Q8" i="21" s="1"/>
  <c r="P7" i="21"/>
  <c r="Q7" i="21" s="1"/>
  <c r="P6" i="21"/>
  <c r="Q6" i="21" s="1"/>
  <c r="Q5" i="21"/>
  <c r="P5" i="21"/>
  <c r="F18" i="20"/>
  <c r="Q8" i="20"/>
  <c r="P8" i="20"/>
  <c r="P7" i="20"/>
  <c r="Q7" i="20" s="1"/>
  <c r="Q6" i="20"/>
  <c r="P6" i="20"/>
  <c r="Q5" i="20"/>
  <c r="P5" i="20"/>
  <c r="F18" i="19"/>
  <c r="P8" i="19"/>
  <c r="Q8" i="19" s="1"/>
  <c r="P7" i="19"/>
  <c r="Q7" i="19" s="1"/>
  <c r="Q6" i="19"/>
  <c r="P6" i="19"/>
  <c r="Q5" i="19"/>
  <c r="P5" i="19"/>
  <c r="C6" i="1"/>
  <c r="Q7" i="7"/>
  <c r="Q8" i="7"/>
  <c r="C5" i="1"/>
  <c r="E5" i="1"/>
  <c r="D3" i="5"/>
  <c r="D2" i="5"/>
  <c r="D18" i="9"/>
  <c r="D20" i="9" s="1"/>
  <c r="P8" i="7"/>
  <c r="P7" i="7"/>
  <c r="P5" i="7"/>
  <c r="Q5" i="7" s="1"/>
  <c r="K7" i="1" l="1"/>
  <c r="O7" i="1"/>
  <c r="E7" i="1"/>
  <c r="T11" i="12"/>
  <c r="U15" i="20"/>
  <c r="V15" i="20" s="1"/>
  <c r="U15" i="13"/>
  <c r="V15" i="13" s="1"/>
  <c r="U11" i="15"/>
  <c r="V11" i="15" s="1"/>
  <c r="W9" i="20"/>
  <c r="U15" i="18"/>
  <c r="V15" i="18" s="1"/>
  <c r="U15" i="2"/>
  <c r="V15" i="2" s="1"/>
  <c r="V9" i="13"/>
  <c r="W9" i="13"/>
  <c r="U13" i="20"/>
  <c r="V13" i="20" s="1"/>
  <c r="W9" i="15"/>
  <c r="T11" i="16"/>
  <c r="U15" i="12"/>
  <c r="V15" i="12" s="1"/>
  <c r="T11" i="14"/>
  <c r="U15" i="15"/>
  <c r="V15" i="15" s="1"/>
  <c r="T11" i="21"/>
  <c r="F18" i="2"/>
  <c r="F24" i="1" s="1"/>
  <c r="F25" i="1" s="1"/>
  <c r="F26" i="1" s="1"/>
  <c r="Q5" i="11"/>
  <c r="F18" i="11"/>
  <c r="G18" i="11" s="1"/>
  <c r="T5" i="11"/>
  <c r="U15" i="11"/>
  <c r="V15" i="11" s="1"/>
  <c r="W9" i="11"/>
  <c r="T11" i="11"/>
  <c r="F18" i="10"/>
  <c r="G18" i="10" s="1"/>
  <c r="W5" i="10"/>
  <c r="W9" i="10" s="1"/>
  <c r="O6" i="1" s="1"/>
  <c r="U13" i="10"/>
  <c r="V13" i="10" s="1"/>
  <c r="G18" i="7"/>
  <c r="W9" i="7"/>
  <c r="U11" i="7"/>
  <c r="V11" i="7" s="1"/>
  <c r="U15" i="7"/>
  <c r="V15" i="7" s="1"/>
  <c r="T5" i="6"/>
  <c r="U5" i="6" s="1"/>
  <c r="V5" i="6" s="1"/>
  <c r="Q5" i="6"/>
  <c r="U15" i="17"/>
  <c r="V15" i="17" s="1"/>
  <c r="V9" i="17"/>
  <c r="U15" i="16"/>
  <c r="V15" i="16" s="1"/>
  <c r="V9" i="15"/>
  <c r="U13" i="14"/>
  <c r="V13" i="14" s="1"/>
  <c r="U15" i="14"/>
  <c r="V15" i="14" s="1"/>
  <c r="W9" i="14"/>
  <c r="T11" i="13"/>
  <c r="V9" i="10"/>
  <c r="U11" i="10"/>
  <c r="V11" i="10" s="1"/>
  <c r="T11" i="6"/>
  <c r="D27" i="1" s="1"/>
  <c r="W9" i="2"/>
  <c r="F42" i="1" s="1"/>
  <c r="W9" i="6"/>
  <c r="W9" i="18"/>
  <c r="V9" i="19"/>
  <c r="U13" i="19"/>
  <c r="V13" i="19" s="1"/>
  <c r="W9" i="19"/>
  <c r="U15" i="19"/>
  <c r="V15" i="19" s="1"/>
  <c r="T11" i="20"/>
  <c r="V9" i="20"/>
  <c r="U15" i="21"/>
  <c r="V15" i="21" s="1"/>
  <c r="W9" i="21"/>
  <c r="U11" i="21"/>
  <c r="V11" i="21" s="1"/>
  <c r="U13" i="22"/>
  <c r="V13" i="22" s="1"/>
  <c r="U15" i="22"/>
  <c r="V15" i="22" s="1"/>
  <c r="W9" i="22"/>
  <c r="V9" i="22"/>
  <c r="U11" i="23"/>
  <c r="V11" i="23" s="1"/>
  <c r="W9" i="23"/>
  <c r="V9" i="23"/>
  <c r="U15" i="23"/>
  <c r="V15" i="23" s="1"/>
  <c r="T11" i="23"/>
  <c r="U13" i="23"/>
  <c r="V13" i="23" s="1"/>
  <c r="T11" i="22"/>
  <c r="U11" i="22"/>
  <c r="V11" i="22" s="1"/>
  <c r="V9" i="21"/>
  <c r="U13" i="21"/>
  <c r="V13" i="21" s="1"/>
  <c r="U11" i="20"/>
  <c r="V11" i="20" s="1"/>
  <c r="T11" i="19"/>
  <c r="U11" i="19"/>
  <c r="V11" i="19" s="1"/>
  <c r="V9" i="18"/>
  <c r="T11" i="18"/>
  <c r="U11" i="18"/>
  <c r="V11" i="18" s="1"/>
  <c r="U13" i="18"/>
  <c r="V13" i="18" s="1"/>
  <c r="U11" i="17"/>
  <c r="V11" i="17" s="1"/>
  <c r="U13" i="17"/>
  <c r="V13" i="17" s="1"/>
  <c r="V9" i="16"/>
  <c r="U11" i="16"/>
  <c r="V11" i="16" s="1"/>
  <c r="U13" i="16"/>
  <c r="V13" i="16" s="1"/>
  <c r="T11" i="15"/>
  <c r="U13" i="15"/>
  <c r="V13" i="15" s="1"/>
  <c r="V9" i="14"/>
  <c r="U11" i="14"/>
  <c r="V11" i="14" s="1"/>
  <c r="U11" i="13"/>
  <c r="V11" i="13" s="1"/>
  <c r="U13" i="13"/>
  <c r="V13" i="13" s="1"/>
  <c r="U11" i="12"/>
  <c r="V11" i="12" s="1"/>
  <c r="U13" i="12"/>
  <c r="V13" i="12" s="1"/>
  <c r="U13" i="11"/>
  <c r="V13" i="11" s="1"/>
  <c r="U15" i="10"/>
  <c r="V15" i="10" s="1"/>
  <c r="T11" i="10"/>
  <c r="V9" i="7"/>
  <c r="T11" i="7"/>
  <c r="U13" i="7"/>
  <c r="V13" i="7" s="1"/>
  <c r="V9" i="2"/>
  <c r="T11" i="2"/>
  <c r="F27" i="1" s="1"/>
  <c r="U11" i="2"/>
  <c r="V11" i="2" s="1"/>
  <c r="U13" i="2"/>
  <c r="V13" i="2" s="1"/>
  <c r="M5" i="1"/>
  <c r="L44" i="1"/>
  <c r="M44" i="1"/>
  <c r="U13" i="6"/>
  <c r="U15" i="6"/>
  <c r="U8" i="6"/>
  <c r="V8" i="6" s="1"/>
  <c r="U6" i="6"/>
  <c r="V6" i="6" s="1"/>
  <c r="N15" i="1"/>
  <c r="F11" i="1"/>
  <c r="E17" i="1"/>
  <c r="H12" i="1"/>
  <c r="G12" i="1"/>
  <c r="J13" i="1"/>
  <c r="D5" i="1"/>
  <c r="I15" i="1"/>
  <c r="D10" i="1"/>
  <c r="J8" i="1"/>
  <c r="N10" i="1"/>
  <c r="D13" i="1"/>
  <c r="F14" i="1"/>
  <c r="H15" i="1"/>
  <c r="J16" i="1"/>
  <c r="N18" i="1"/>
  <c r="E14" i="1"/>
  <c r="G9" i="1"/>
  <c r="G17" i="1"/>
  <c r="I12" i="1"/>
  <c r="N9" i="1"/>
  <c r="D12" i="1"/>
  <c r="F13" i="1"/>
  <c r="H14" i="1"/>
  <c r="J15" i="1"/>
  <c r="N17" i="1"/>
  <c r="E15" i="1"/>
  <c r="G10" i="1"/>
  <c r="G18" i="1"/>
  <c r="I13" i="1"/>
  <c r="N8" i="1"/>
  <c r="D11" i="1"/>
  <c r="F12" i="1"/>
  <c r="H13" i="1"/>
  <c r="J14" i="1"/>
  <c r="N16" i="1"/>
  <c r="D19" i="1"/>
  <c r="E8" i="1"/>
  <c r="E16" i="1"/>
  <c r="G11" i="1"/>
  <c r="G19" i="1"/>
  <c r="I14" i="1"/>
  <c r="D6" i="1"/>
  <c r="N7" i="1"/>
  <c r="D9" i="1"/>
  <c r="F10" i="1"/>
  <c r="H11" i="1"/>
  <c r="J12" i="1"/>
  <c r="N14" i="1"/>
  <c r="D17" i="1"/>
  <c r="F18" i="1"/>
  <c r="H19" i="1"/>
  <c r="E10" i="1"/>
  <c r="E18" i="1"/>
  <c r="G13" i="1"/>
  <c r="I8" i="1"/>
  <c r="I16" i="1"/>
  <c r="D18" i="1"/>
  <c r="G6" i="1"/>
  <c r="D8" i="1"/>
  <c r="F9" i="1"/>
  <c r="H10" i="1"/>
  <c r="J11" i="1"/>
  <c r="N13" i="1"/>
  <c r="D16" i="1"/>
  <c r="F17" i="1"/>
  <c r="H18" i="1"/>
  <c r="J19" i="1"/>
  <c r="E11" i="1"/>
  <c r="E19" i="1"/>
  <c r="G14" i="1"/>
  <c r="I9" i="1"/>
  <c r="I17" i="1"/>
  <c r="D7" i="1"/>
  <c r="F8" i="1"/>
  <c r="H9" i="1"/>
  <c r="J10" i="1"/>
  <c r="N12" i="1"/>
  <c r="D15" i="1"/>
  <c r="F16" i="1"/>
  <c r="H17" i="1"/>
  <c r="J18" i="1"/>
  <c r="E12" i="1"/>
  <c r="G15" i="1"/>
  <c r="I10" i="1"/>
  <c r="I18" i="1"/>
  <c r="H8" i="1"/>
  <c r="N11" i="1"/>
  <c r="H16" i="1"/>
  <c r="N19" i="1"/>
  <c r="O5" i="1"/>
  <c r="N6" i="1" l="1"/>
  <c r="G18" i="2"/>
  <c r="M7" i="1"/>
  <c r="U5" i="11"/>
  <c r="V5" i="11" s="1"/>
  <c r="V9" i="11" s="1"/>
  <c r="G7" i="1" s="1"/>
  <c r="F7" i="1" s="1"/>
  <c r="U11" i="11"/>
  <c r="M6" i="1"/>
  <c r="L6" i="1" s="1"/>
  <c r="K6" i="1"/>
  <c r="J7" i="1" s="1"/>
  <c r="I6" i="1"/>
  <c r="U11" i="6"/>
  <c r="V11" i="6" s="1"/>
  <c r="K5" i="1"/>
  <c r="V9" i="6"/>
  <c r="G4" i="1" s="1"/>
  <c r="F28" i="1"/>
  <c r="F29" i="1" s="1"/>
  <c r="D42" i="1"/>
  <c r="F43" i="1" s="1"/>
  <c r="F44" i="1" s="1"/>
  <c r="O4" i="1"/>
  <c r="N5" i="1" s="1"/>
  <c r="G5" i="1"/>
  <c r="F6" i="1" s="1"/>
  <c r="D30" i="1"/>
  <c r="K4" i="1"/>
  <c r="V13" i="6"/>
  <c r="M4" i="1"/>
  <c r="L5" i="1" s="1"/>
  <c r="D33" i="1"/>
  <c r="V15" i="6"/>
  <c r="F36" i="1"/>
  <c r="F30" i="1"/>
  <c r="F33" i="1"/>
  <c r="I5" i="1"/>
  <c r="L7" i="1" l="1"/>
  <c r="H6" i="1"/>
  <c r="J6" i="1"/>
  <c r="V11" i="11"/>
  <c r="I7" i="1"/>
  <c r="H7" i="1" s="1"/>
  <c r="J5" i="1"/>
  <c r="I4" i="1"/>
  <c r="H5" i="1" s="1"/>
  <c r="D36" i="1"/>
  <c r="F37" i="1" s="1"/>
  <c r="F38" i="1" s="1"/>
  <c r="F31" i="1"/>
  <c r="F32" i="1" s="1"/>
  <c r="F5" i="1"/>
  <c r="D39" i="1"/>
  <c r="F34" i="1"/>
  <c r="F35" i="1" s="1"/>
  <c r="F39" i="1"/>
  <c r="F40" i="1" l="1"/>
  <c r="F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Emma Stanley</author>
  </authors>
  <commentList>
    <comment ref="D15" authorId="0" shapeId="0" xr:uid="{F84936C1-D050-4B6E-AE4D-6223193B07D2}">
      <text>
        <r>
          <rPr>
            <sz val="9"/>
            <color indexed="81"/>
            <rFont val="Tahoma"/>
            <family val="2"/>
          </rPr>
          <t xml:space="preserve">Should be within 3% of gross building area
</t>
        </r>
      </text>
    </comment>
    <comment ref="D16" authorId="0" shapeId="0" xr:uid="{2B06D9B4-A584-47D8-AD02-C8ADDCCAFCFF}">
      <text>
        <r>
          <rPr>
            <b/>
            <sz val="9"/>
            <color indexed="81"/>
            <rFont val="Tahoma"/>
            <family val="2"/>
          </rPr>
          <t>Matches LV-B area</t>
        </r>
      </text>
    </comment>
    <comment ref="D17" authorId="0" shapeId="0" xr:uid="{477AFAF3-58A1-4805-8163-04BD7A96230B}">
      <text>
        <r>
          <rPr>
            <sz val="9"/>
            <color indexed="81"/>
            <rFont val="Tahoma"/>
            <family val="2"/>
          </rPr>
          <t>Includes area of zones that are required for modeling, but do not contribute to actual floor area, such as plenums</t>
        </r>
      </text>
    </comment>
    <comment ref="D18" authorId="0" shapeId="0" xr:uid="{76B220F8-29F2-4AFC-A77D-C88ED04D0C20}">
      <text>
        <r>
          <rPr>
            <sz val="9"/>
            <color indexed="81"/>
            <rFont val="Tahoma"/>
            <family val="2"/>
          </rPr>
          <t xml:space="preserve">Should be within 1% of gross building area
</t>
        </r>
      </text>
    </comment>
    <comment ref="D19" authorId="0" shapeId="0" xr:uid="{4A10D43B-1C87-4BC3-96DF-CE91A8253579}">
      <text>
        <r>
          <rPr>
            <sz val="9"/>
            <color indexed="81"/>
            <rFont val="Tahoma"/>
            <family val="2"/>
          </rPr>
          <t>Includes unconditioned areas, such as shafts, that contribute to floor area</t>
        </r>
      </text>
    </comment>
  </commentList>
</comments>
</file>

<file path=xl/sharedStrings.xml><?xml version="1.0" encoding="utf-8"?>
<sst xmlns="http://schemas.openxmlformats.org/spreadsheetml/2006/main" count="921" uniqueCount="179">
  <si>
    <t>Proposed Design, Model Results</t>
  </si>
  <si>
    <t>Input Values from BEPU Report</t>
  </si>
  <si>
    <t>Lights</t>
  </si>
  <si>
    <t>Task
Lights</t>
  </si>
  <si>
    <t>Misc
Equip</t>
  </si>
  <si>
    <t>Space
Heating</t>
  </si>
  <si>
    <t>Space
Cooling</t>
  </si>
  <si>
    <t>Heat
Reject</t>
  </si>
  <si>
    <t>Pumps
&amp; Aux</t>
  </si>
  <si>
    <t>Vent
Fans</t>
  </si>
  <si>
    <t>Refrig
Display</t>
  </si>
  <si>
    <t>HT Pump 
Supplem</t>
  </si>
  <si>
    <t>Domest
Hot Wtr</t>
  </si>
  <si>
    <t>Ext
Usage</t>
  </si>
  <si>
    <t>Total</t>
  </si>
  <si>
    <t>Meter Name</t>
  </si>
  <si>
    <t>Meter Fuel Type</t>
  </si>
  <si>
    <t>Electricity</t>
  </si>
  <si>
    <t>No.2 Fuel Oil</t>
  </si>
  <si>
    <t>Steam</t>
  </si>
  <si>
    <t>No.4 Fuel Oil</t>
  </si>
  <si>
    <t>Electricity (kWh)</t>
  </si>
  <si>
    <t>Natural Gas (Therms)</t>
  </si>
  <si>
    <t>Check?</t>
  </si>
  <si>
    <t>Fuel Type</t>
  </si>
  <si>
    <t>Input Values from ES-D Report</t>
  </si>
  <si>
    <t>Rate Name</t>
  </si>
  <si>
    <t>Resource</t>
  </si>
  <si>
    <t>Metered
Energy
Units/Yr</t>
  </si>
  <si>
    <t>Total 
Charge
($)</t>
  </si>
  <si>
    <t>Virtual 
Rate
($/unit)</t>
  </si>
  <si>
    <t>Rate Used 
All Year?</t>
  </si>
  <si>
    <t>Total
Charge</t>
  </si>
  <si>
    <t>Meter</t>
  </si>
  <si>
    <t>Existing Building Baseline, Model Results</t>
  </si>
  <si>
    <t>EEM1, Model Results</t>
  </si>
  <si>
    <t>EEM2, Model Results</t>
  </si>
  <si>
    <t>EEM Description</t>
  </si>
  <si>
    <t>EEM Cost</t>
  </si>
  <si>
    <t>EEM Source EUI Savings (kBTU/sf.yr)</t>
  </si>
  <si>
    <t>EEM Cost Saving ($/yr)</t>
  </si>
  <si>
    <t>EEM Fossil Fuel Use Savings (MMBTU/yr)</t>
  </si>
  <si>
    <t>Table 1a - EEM Savings Comparison</t>
  </si>
  <si>
    <t>EEM #</t>
  </si>
  <si>
    <t>School Information</t>
  </si>
  <si>
    <t>School Name</t>
  </si>
  <si>
    <t>Address</t>
  </si>
  <si>
    <t>Building Type</t>
  </si>
  <si>
    <t>Number of Stories</t>
  </si>
  <si>
    <t>Submission</t>
  </si>
  <si>
    <t>Template Used</t>
  </si>
  <si>
    <t>Date</t>
  </si>
  <si>
    <t>Energy Modeling Information</t>
  </si>
  <si>
    <t>Drawing Set</t>
  </si>
  <si>
    <t>Modeling Software &amp; version</t>
  </si>
  <si>
    <t>Weather File</t>
  </si>
  <si>
    <t>Window/Wall Ratio</t>
  </si>
  <si>
    <t>Total Modeled Square Feet (from LV-B)</t>
  </si>
  <si>
    <t>Area of plenums/ dummy zones</t>
  </si>
  <si>
    <t>Modeled Gross Building Area</t>
  </si>
  <si>
    <t>Unconditioned Area</t>
  </si>
  <si>
    <t>Conditioned SQFT</t>
  </si>
  <si>
    <t>carbon</t>
  </si>
  <si>
    <t>source EUI factor</t>
  </si>
  <si>
    <t>SITE EUI</t>
  </si>
  <si>
    <t>SOURCE EUI</t>
  </si>
  <si>
    <t xml:space="preserve">Total MMBTU </t>
  </si>
  <si>
    <t>FF</t>
  </si>
  <si>
    <t>OTHR</t>
  </si>
  <si>
    <t>ELEC</t>
  </si>
  <si>
    <t>ELEC kWh</t>
  </si>
  <si>
    <t>ELEC MMBTU</t>
  </si>
  <si>
    <t>FF MMBTU</t>
  </si>
  <si>
    <t>OTHR MMBTU</t>
  </si>
  <si>
    <t>Carbon</t>
  </si>
  <si>
    <t>Existing Building Baseline</t>
  </si>
  <si>
    <t>-</t>
  </si>
  <si>
    <t>EEM Fossil Fuel Use (MMBTU/yr)</t>
  </si>
  <si>
    <t>EEM Electric Use (MMBTU/yr)</t>
  </si>
  <si>
    <t>EEM Electric Use Savings (MMBTU/yr)</t>
  </si>
  <si>
    <t>EEM Source EUI (kBTU/sf.yr)</t>
  </si>
  <si>
    <t>EEM Carbon Emission 
(tons CO2e/yr)</t>
  </si>
  <si>
    <t>EEM Carbon Savings 
(tons CO2e/yr)</t>
  </si>
  <si>
    <t>EEM4, Model Results</t>
  </si>
  <si>
    <t>EEM3, Model Results</t>
  </si>
  <si>
    <t>EEM5, Model Results</t>
  </si>
  <si>
    <t>EEM6, Model Results</t>
  </si>
  <si>
    <t>EEM7, Model Results</t>
  </si>
  <si>
    <t>EEM8, Model Results</t>
  </si>
  <si>
    <t>EEM9, Model Results</t>
  </si>
  <si>
    <t>EEM10, Model Results</t>
  </si>
  <si>
    <t>EEM11, Model Results</t>
  </si>
  <si>
    <t>EEM12, Model Results</t>
  </si>
  <si>
    <t>EEM13, Model Results</t>
  </si>
  <si>
    <t>EEM14, Model Results</t>
  </si>
  <si>
    <t>EEM15, Model Results</t>
  </si>
  <si>
    <t>EEM Other Energy Savings (MMBTU/yr)</t>
  </si>
  <si>
    <t>EEM Other Energy Use (MMBTU/yr)</t>
  </si>
  <si>
    <t>Case</t>
  </si>
  <si>
    <t>Existing Building</t>
  </si>
  <si>
    <t>Proposed Design</t>
  </si>
  <si>
    <t>Table 1b - Existing vs Proposed Results</t>
  </si>
  <si>
    <t>Total Energy Cost</t>
  </si>
  <si>
    <t>Energy Cost Savings</t>
  </si>
  <si>
    <t>% Energy Cost Savings</t>
  </si>
  <si>
    <t>Total Electricity (kWh/year)</t>
  </si>
  <si>
    <t>Electricity Savings (kWh/year)</t>
  </si>
  <si>
    <t>% Electricity Savings</t>
  </si>
  <si>
    <t>Total Fossil Fuels (MMBTU/year)</t>
  </si>
  <si>
    <t>Fossil Fuels Savings (MMBTU/year)</t>
  </si>
  <si>
    <t>% Fossil Fuels Savings</t>
  </si>
  <si>
    <t>Site Energy (MMBTU)</t>
  </si>
  <si>
    <t>Site EUI (kBTU/sf.year)</t>
  </si>
  <si>
    <t xml:space="preserve">% Site EUI Savings </t>
  </si>
  <si>
    <t>Source Energy (MMBTU)</t>
  </si>
  <si>
    <t>Source EUI (kBTU/sf.year)</t>
  </si>
  <si>
    <t>% Source EUI Savings</t>
  </si>
  <si>
    <t>Total Carbon (tCO2e/year)</t>
  </si>
  <si>
    <t>Total Carbon Savings (tCO2e/year)</t>
  </si>
  <si>
    <t>% Total Carbon Savings</t>
  </si>
  <si>
    <t>Total Other Energy (MMBTU/year)</t>
  </si>
  <si>
    <t xml:space="preserve">% Other Energy Savings </t>
  </si>
  <si>
    <t>Other Energy Savings (MMBTU/year)</t>
  </si>
  <si>
    <t>Source MMBTU</t>
  </si>
  <si>
    <t>Unit</t>
  </si>
  <si>
    <t>kWh</t>
  </si>
  <si>
    <t>Therms</t>
  </si>
  <si>
    <t>Steam (MMBTU)</t>
  </si>
  <si>
    <t>MMBTU/unit</t>
  </si>
  <si>
    <t>Biofuel B20 (Gal)</t>
  </si>
  <si>
    <t>Biofuel B99 (Gal)</t>
  </si>
  <si>
    <t>Chilled Water (MMBTU)</t>
  </si>
  <si>
    <t>No.2 Fuel Oil (Gal)</t>
  </si>
  <si>
    <t>No.4 Fuel Oil (Gal)</t>
  </si>
  <si>
    <t>Table 1c - Energy End Use Breakdown</t>
  </si>
  <si>
    <t>End Use</t>
  </si>
  <si>
    <t>Interior Lighting</t>
  </si>
  <si>
    <t>Exterior Lighting</t>
  </si>
  <si>
    <t>Pumps and Aux</t>
  </si>
  <si>
    <t>Fans</t>
  </si>
  <si>
    <t>Heating</t>
  </si>
  <si>
    <t>Domestic Hot Water</t>
  </si>
  <si>
    <t>Equipment Loads</t>
  </si>
  <si>
    <t>Cooling &amp; Heat Rejection</t>
  </si>
  <si>
    <t>Heat Pumps Supplemental</t>
  </si>
  <si>
    <t>Natural Gas</t>
  </si>
  <si>
    <t>Chilled Water</t>
  </si>
  <si>
    <t>Boifuel B99</t>
  </si>
  <si>
    <t>Biofuel B20</t>
  </si>
  <si>
    <t>MMBTU</t>
  </si>
  <si>
    <t>Fuel Source</t>
  </si>
  <si>
    <t>Existing Building Use (MMBTU)</t>
  </si>
  <si>
    <t>Proposed Design Use (MMBTU)</t>
  </si>
  <si>
    <t>EEM 1 - U-0.084 Wall Update</t>
  </si>
  <si>
    <t>Gallons</t>
  </si>
  <si>
    <t>EEM2: New NG Boiler, 87%et</t>
  </si>
  <si>
    <t>EEM3: Adding AHU serving Gym</t>
  </si>
  <si>
    <t xml:space="preserve">Heating </t>
  </si>
  <si>
    <t>PS 140M</t>
  </si>
  <si>
    <t>School</t>
  </si>
  <si>
    <t>CD</t>
  </si>
  <si>
    <t>SCA Medium School</t>
  </si>
  <si>
    <t>100 CD</t>
  </si>
  <si>
    <t>DOE 2.2</t>
  </si>
  <si>
    <t>LaGuardia</t>
  </si>
  <si>
    <t>Contribution to Total Savings</t>
  </si>
  <si>
    <t>Projected Annual Electricity Consumption (kWh)</t>
  </si>
  <si>
    <t>Annual Electricity Consumption Savings (kWh)</t>
  </si>
  <si>
    <t>Projected Annual Gas Consumption (therms)</t>
  </si>
  <si>
    <t>Annual Gas Consumption Savings 
(therms)</t>
  </si>
  <si>
    <t>Projected Annual Steam Consumption (mlbs)</t>
  </si>
  <si>
    <t>Annual Steam Consumption Savings 
(mlbs)</t>
  </si>
  <si>
    <t>Projected #4 Fuel Oil Consumption (gallons)</t>
  </si>
  <si>
    <t>Projected #2 Fuel Oil Consumption (gallons)</t>
  </si>
  <si>
    <t>Projected Biofuel Consumption (gallons)</t>
  </si>
  <si>
    <t>Annual Energy Reduction (MMBTU)</t>
  </si>
  <si>
    <t>GHG Emission Reduction (MTCO2e)</t>
  </si>
  <si>
    <t>Energy Cost Savings ($/yr)</t>
  </si>
  <si>
    <t xml:space="preserve">Note: 
If the modeler adds or deletes rows in the meters section of either the Proposed Design or Existing Building Baseline tabs, the equations above should be double checked for accuracy as they may become incorrect.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</si>
</sst>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000000"/>
    <numFmt numFmtId="165" formatCode="0.000"/>
    <numFmt numFmtId="166" formatCode="0.0"/>
    <numFmt numFmtId="167" formatCode="0.0000"/>
  </numFmts>
  <fonts count="11"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Arial"/>
      <family val="2"/>
    </font>
    <font>
      <sz val="9"/>
      <color theme="1"/>
      <name val="Calibri"/>
      <family val="2"/>
      <scheme val="minor"/>
    </font>
    <font>
      <sz val="10"/>
      <color theme="1"/>
      <name val="Arial"/>
      <family val="2"/>
    </font>
    <font>
      <sz val="9"/>
      <color indexed="81"/>
      <name val="Tahoma"/>
      <family val="2"/>
    </font>
    <font>
      <b/>
      <sz val="9"/>
      <color indexed="81"/>
      <name val="Tahoma"/>
      <family val="2"/>
    </font>
    <font>
      <sz val="20"/>
      <color theme="1"/>
      <name val="Calibri"/>
      <family val="2"/>
      <scheme val="minor"/>
    </font>
    <font>
      <sz val="11"/>
      <name val="Calibri"/>
      <family val="2"/>
      <scheme val="minor"/>
    </font>
    <font>
      <sz val="11"/>
      <color rgb="FF00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EECE1"/>
        <bgColor indexed="64"/>
      </patternFill>
    </fill>
    <fill>
      <patternFill patternType="solid">
        <fgColor theme="6" tint="0.79998168889431442"/>
        <bgColor indexed="64"/>
      </patternFill>
    </fill>
    <fill>
      <patternFill patternType="solid">
        <fgColor theme="6" tint="0.399975585192419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1">
    <xf numFmtId="0" fontId="0" fillId="0" borderId="0" xfId="0"/>
    <xf numFmtId="0" fontId="0" fillId="2" borderId="1" xfId="0" applyFill="1" applyBorder="1"/>
    <xf numFmtId="0" fontId="0" fillId="3" borderId="0" xfId="0" applyFill="1"/>
    <xf numFmtId="0" fontId="0" fillId="3" borderId="0" xfId="0" applyFill="1" applyAlignment="1">
      <alignment wrapText="1"/>
    </xf>
    <xf numFmtId="0" fontId="0" fillId="4" borderId="1" xfId="0" applyFill="1" applyBorder="1"/>
    <xf numFmtId="0" fontId="0" fillId="0" borderId="2" xfId="0" applyBorder="1"/>
    <xf numFmtId="0" fontId="0" fillId="3" borderId="3" xfId="0" applyFill="1" applyBorder="1" applyAlignment="1">
      <alignment horizontal="center"/>
    </xf>
    <xf numFmtId="0" fontId="0" fillId="6" borderId="26" xfId="0" applyFill="1" applyBorder="1"/>
    <xf numFmtId="0" fontId="0" fillId="6" borderId="28" xfId="0" applyFill="1" applyBorder="1"/>
    <xf numFmtId="0" fontId="0" fillId="6" borderId="24" xfId="0" applyFill="1" applyBorder="1"/>
    <xf numFmtId="0" fontId="0" fillId="6" borderId="25" xfId="0" applyFill="1" applyBorder="1"/>
    <xf numFmtId="0" fontId="4" fillId="0" borderId="29" xfId="0" applyFont="1" applyBorder="1" applyAlignment="1">
      <alignment horizontal="right" vertical="center"/>
    </xf>
    <xf numFmtId="0" fontId="0" fillId="0" borderId="30" xfId="0" applyBorder="1"/>
    <xf numFmtId="0" fontId="4" fillId="0" borderId="31" xfId="0" applyFont="1" applyBorder="1" applyAlignment="1">
      <alignment horizontal="right" vertical="center"/>
    </xf>
    <xf numFmtId="0" fontId="0" fillId="0" borderId="32" xfId="0" applyBorder="1"/>
    <xf numFmtId="0" fontId="0" fillId="0" borderId="33" xfId="0" applyBorder="1"/>
    <xf numFmtId="0" fontId="4" fillId="0" borderId="0" xfId="0" applyFont="1" applyAlignment="1">
      <alignment horizontal="right" vertical="center"/>
    </xf>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4" fillId="0" borderId="30" xfId="0" applyFont="1" applyBorder="1" applyAlignment="1">
      <alignment horizontal="center"/>
    </xf>
    <xf numFmtId="0" fontId="4" fillId="0" borderId="38" xfId="0" applyFont="1" applyBorder="1" applyAlignment="1">
      <alignment horizontal="right" vertical="center"/>
    </xf>
    <xf numFmtId="0" fontId="4" fillId="0" borderId="46" xfId="0" applyFont="1" applyBorder="1" applyAlignment="1">
      <alignment horizontal="right" vertical="center"/>
    </xf>
    <xf numFmtId="0" fontId="4" fillId="0" borderId="47" xfId="0" applyFont="1" applyBorder="1" applyAlignment="1">
      <alignment horizontal="right" vertical="center"/>
    </xf>
    <xf numFmtId="0" fontId="4" fillId="0" borderId="48" xfId="0" applyFont="1" applyBorder="1" applyAlignment="1">
      <alignment horizontal="right" vertical="center"/>
    </xf>
    <xf numFmtId="0" fontId="5" fillId="0" borderId="40" xfId="0" applyFont="1" applyBorder="1" applyAlignment="1">
      <alignment vertical="center"/>
    </xf>
    <xf numFmtId="0" fontId="5" fillId="0" borderId="0" xfId="0" applyFont="1" applyAlignment="1">
      <alignment vertical="center"/>
    </xf>
    <xf numFmtId="0" fontId="4" fillId="0" borderId="49" xfId="0" applyFont="1" applyBorder="1" applyAlignment="1">
      <alignment horizontal="right" vertical="center"/>
    </xf>
    <xf numFmtId="0" fontId="4" fillId="0" borderId="50" xfId="0" applyFont="1" applyBorder="1" applyAlignment="1">
      <alignment horizontal="right" vertical="center"/>
    </xf>
    <xf numFmtId="0" fontId="4" fillId="0" borderId="32" xfId="0" applyFont="1" applyBorder="1" applyAlignment="1">
      <alignment horizontal="right" vertical="center"/>
    </xf>
    <xf numFmtId="9" fontId="4" fillId="0" borderId="33" xfId="2" applyFont="1" applyFill="1" applyBorder="1"/>
    <xf numFmtId="0" fontId="0" fillId="0" borderId="0" xfId="0" applyAlignment="1">
      <alignment wrapText="1"/>
    </xf>
    <xf numFmtId="164" fontId="0" fillId="0" borderId="0" xfId="0" applyNumberFormat="1"/>
    <xf numFmtId="0" fontId="0" fillId="6" borderId="23" xfId="0" applyFill="1" applyBorder="1"/>
    <xf numFmtId="0" fontId="0" fillId="6" borderId="32" xfId="0" applyFill="1" applyBorder="1"/>
    <xf numFmtId="0" fontId="0" fillId="6" borderId="44" xfId="0" applyFill="1" applyBorder="1"/>
    <xf numFmtId="0" fontId="0" fillId="6" borderId="12" xfId="0" applyFill="1" applyBorder="1" applyAlignment="1">
      <alignment wrapText="1"/>
    </xf>
    <xf numFmtId="0" fontId="0" fillId="6" borderId="13" xfId="0" applyFill="1" applyBorder="1" applyAlignment="1">
      <alignment wrapText="1"/>
    </xf>
    <xf numFmtId="0" fontId="0" fillId="6" borderId="14" xfId="0" applyFill="1" applyBorder="1" applyAlignment="1">
      <alignment wrapText="1"/>
    </xf>
    <xf numFmtId="0" fontId="0" fillId="5" borderId="38" xfId="0" applyFill="1" applyBorder="1"/>
    <xf numFmtId="0" fontId="0" fillId="5" borderId="47" xfId="0" applyFill="1" applyBorder="1"/>
    <xf numFmtId="0" fontId="0" fillId="5" borderId="48" xfId="0" applyFill="1" applyBorder="1"/>
    <xf numFmtId="0" fontId="0" fillId="6" borderId="13" xfId="0" applyFill="1" applyBorder="1" applyAlignment="1">
      <alignment horizontal="center" wrapText="1"/>
    </xf>
    <xf numFmtId="44" fontId="0" fillId="4" borderId="5" xfId="1" applyFont="1" applyFill="1" applyBorder="1"/>
    <xf numFmtId="44" fontId="0" fillId="6" borderId="13" xfId="1" applyFont="1" applyFill="1" applyBorder="1" applyAlignment="1">
      <alignment wrapText="1"/>
    </xf>
    <xf numFmtId="44" fontId="0" fillId="4" borderId="1" xfId="1" applyFont="1" applyFill="1" applyBorder="1"/>
    <xf numFmtId="44" fontId="0" fillId="4" borderId="10" xfId="1" applyFont="1" applyFill="1" applyBorder="1"/>
    <xf numFmtId="44" fontId="0" fillId="6" borderId="12" xfId="1" applyFont="1" applyFill="1" applyBorder="1" applyAlignment="1">
      <alignment horizontal="center" wrapText="1"/>
    </xf>
    <xf numFmtId="44" fontId="0" fillId="4" borderId="4" xfId="1" applyFont="1" applyFill="1" applyBorder="1"/>
    <xf numFmtId="44" fontId="0" fillId="4" borderId="7" xfId="1" applyFont="1" applyFill="1" applyBorder="1"/>
    <xf numFmtId="44" fontId="0" fillId="4" borderId="9" xfId="1" applyFont="1" applyFill="1" applyBorder="1"/>
    <xf numFmtId="0" fontId="0" fillId="6" borderId="18" xfId="0" applyFill="1" applyBorder="1"/>
    <xf numFmtId="0" fontId="0" fillId="6" borderId="15" xfId="0" applyFill="1" applyBorder="1"/>
    <xf numFmtId="0" fontId="0" fillId="6" borderId="7" xfId="0" applyFill="1" applyBorder="1"/>
    <xf numFmtId="0" fontId="0" fillId="6" borderId="9" xfId="0" applyFill="1" applyBorder="1"/>
    <xf numFmtId="0" fontId="2" fillId="4" borderId="1" xfId="0" applyFont="1" applyFill="1" applyBorder="1"/>
    <xf numFmtId="0" fontId="2" fillId="0" borderId="0" xfId="0" applyFont="1"/>
    <xf numFmtId="0" fontId="9" fillId="0" borderId="0" xfId="0" applyFont="1"/>
    <xf numFmtId="165" fontId="9" fillId="0" borderId="0" xfId="0" applyNumberFormat="1" applyFont="1"/>
    <xf numFmtId="0" fontId="0" fillId="6" borderId="27" xfId="0" applyFill="1" applyBorder="1"/>
    <xf numFmtId="0" fontId="0" fillId="2" borderId="27" xfId="0" applyFill="1" applyBorder="1"/>
    <xf numFmtId="0" fontId="0" fillId="2" borderId="54" xfId="0" applyFill="1" applyBorder="1"/>
    <xf numFmtId="166" fontId="0" fillId="4" borderId="22" xfId="0" applyNumberFormat="1" applyFill="1" applyBorder="1"/>
    <xf numFmtId="166" fontId="0" fillId="4" borderId="8" xfId="0" applyNumberFormat="1" applyFill="1" applyBorder="1"/>
    <xf numFmtId="166" fontId="0" fillId="2" borderId="22" xfId="0" applyNumberFormat="1" applyFill="1" applyBorder="1"/>
    <xf numFmtId="166" fontId="0" fillId="2" borderId="37" xfId="0" applyNumberFormat="1" applyFill="1" applyBorder="1"/>
    <xf numFmtId="166" fontId="0" fillId="6" borderId="21" xfId="0" applyNumberFormat="1" applyFill="1" applyBorder="1"/>
    <xf numFmtId="166" fontId="0" fillId="6" borderId="20" xfId="0" applyNumberFormat="1" applyFill="1" applyBorder="1"/>
    <xf numFmtId="166" fontId="0" fillId="4" borderId="1" xfId="0" applyNumberFormat="1" applyFill="1" applyBorder="1"/>
    <xf numFmtId="2" fontId="0" fillId="4" borderId="5" xfId="0" applyNumberFormat="1" applyFill="1" applyBorder="1"/>
    <xf numFmtId="2" fontId="0" fillId="4" borderId="1" xfId="0" applyNumberFormat="1" applyFill="1" applyBorder="1"/>
    <xf numFmtId="2" fontId="0" fillId="4" borderId="10" xfId="0" applyNumberFormat="1" applyFill="1" applyBorder="1"/>
    <xf numFmtId="166" fontId="0" fillId="4" borderId="5" xfId="0" applyNumberFormat="1" applyFill="1" applyBorder="1"/>
    <xf numFmtId="166" fontId="0" fillId="4" borderId="6" xfId="0" applyNumberFormat="1" applyFill="1" applyBorder="1"/>
    <xf numFmtId="166" fontId="0" fillId="4" borderId="10" xfId="0" applyNumberFormat="1" applyFill="1" applyBorder="1"/>
    <xf numFmtId="166" fontId="0" fillId="4" borderId="11" xfId="0" applyNumberFormat="1" applyFill="1" applyBorder="1"/>
    <xf numFmtId="0" fontId="0" fillId="6" borderId="55" xfId="0" applyFill="1" applyBorder="1" applyAlignment="1">
      <alignment wrapText="1"/>
    </xf>
    <xf numFmtId="0" fontId="0" fillId="6" borderId="56" xfId="0" applyFill="1" applyBorder="1" applyAlignment="1">
      <alignment wrapText="1"/>
    </xf>
    <xf numFmtId="0" fontId="0" fillId="6" borderId="35" xfId="0" applyFill="1" applyBorder="1" applyAlignment="1">
      <alignment wrapText="1"/>
    </xf>
    <xf numFmtId="166" fontId="0" fillId="4" borderId="34" xfId="0" applyNumberFormat="1" applyFill="1" applyBorder="1"/>
    <xf numFmtId="0" fontId="0" fillId="6" borderId="28" xfId="0" applyFill="1" applyBorder="1" applyAlignment="1">
      <alignment wrapText="1"/>
    </xf>
    <xf numFmtId="9" fontId="0" fillId="6" borderId="24" xfId="2" applyFont="1" applyFill="1" applyBorder="1"/>
    <xf numFmtId="9" fontId="0" fillId="6" borderId="25" xfId="2" applyFont="1" applyFill="1" applyBorder="1"/>
    <xf numFmtId="0" fontId="0" fillId="7" borderId="57" xfId="0" applyFill="1" applyBorder="1"/>
    <xf numFmtId="2" fontId="0" fillId="6" borderId="13" xfId="0" applyNumberFormat="1" applyFill="1" applyBorder="1" applyAlignment="1">
      <alignment wrapText="1"/>
    </xf>
    <xf numFmtId="166" fontId="0" fillId="6" borderId="13" xfId="0" applyNumberFormat="1" applyFill="1" applyBorder="1" applyAlignment="1">
      <alignment wrapText="1"/>
    </xf>
    <xf numFmtId="166" fontId="0" fillId="6" borderId="14" xfId="0" applyNumberFormat="1" applyFill="1" applyBorder="1" applyAlignment="1">
      <alignment wrapText="1"/>
    </xf>
    <xf numFmtId="0" fontId="10" fillId="6" borderId="58" xfId="0" applyFont="1" applyFill="1" applyBorder="1" applyAlignment="1">
      <alignment vertical="center" wrapText="1"/>
    </xf>
    <xf numFmtId="0" fontId="10" fillId="6" borderId="41" xfId="0" applyFont="1" applyFill="1" applyBorder="1" applyAlignment="1">
      <alignment vertical="center" wrapText="1"/>
    </xf>
    <xf numFmtId="0" fontId="0" fillId="4" borderId="18" xfId="0" applyFill="1" applyBorder="1"/>
    <xf numFmtId="0" fontId="0" fillId="4" borderId="19" xfId="0" applyFill="1" applyBorder="1"/>
    <xf numFmtId="44" fontId="0" fillId="4" borderId="20" xfId="0" applyNumberFormat="1" applyFill="1" applyBorder="1"/>
    <xf numFmtId="167" fontId="0" fillId="4" borderId="19" xfId="0" applyNumberFormat="1" applyFill="1" applyBorder="1"/>
    <xf numFmtId="2" fontId="0" fillId="4" borderId="19" xfId="0" applyNumberFormat="1" applyFill="1" applyBorder="1"/>
    <xf numFmtId="0" fontId="4" fillId="2" borderId="1" xfId="0" applyFont="1" applyFill="1" applyBorder="1" applyAlignment="1">
      <alignment horizontal="center"/>
    </xf>
    <xf numFmtId="0" fontId="4" fillId="2" borderId="34" xfId="0" applyFont="1" applyFill="1" applyBorder="1" applyAlignment="1">
      <alignment horizont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2" borderId="16" xfId="0" applyFont="1" applyFill="1" applyBorder="1" applyAlignment="1">
      <alignment horizontal="center"/>
    </xf>
    <xf numFmtId="0" fontId="4" fillId="2" borderId="35" xfId="0" applyFont="1" applyFill="1" applyBorder="1" applyAlignment="1">
      <alignment horizontal="center"/>
    </xf>
    <xf numFmtId="3" fontId="4" fillId="2" borderId="10" xfId="0" applyNumberFormat="1" applyFont="1" applyFill="1" applyBorder="1" applyAlignment="1">
      <alignment horizontal="center"/>
    </xf>
    <xf numFmtId="0" fontId="4" fillId="2" borderId="36" xfId="0" applyFont="1" applyFill="1" applyBorder="1" applyAlignment="1">
      <alignment horizontal="center"/>
    </xf>
    <xf numFmtId="14" fontId="4" fillId="2" borderId="10" xfId="0" applyNumberFormat="1" applyFont="1" applyFill="1" applyBorder="1" applyAlignment="1">
      <alignment horizontal="center"/>
    </xf>
    <xf numFmtId="0" fontId="4" fillId="2" borderId="10" xfId="0" applyFont="1" applyFill="1" applyBorder="1" applyAlignment="1">
      <alignment horizontal="center"/>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6" xfId="0" applyFont="1" applyBorder="1" applyAlignment="1">
      <alignment horizontal="center" vertical="center" wrapText="1"/>
    </xf>
    <xf numFmtId="0" fontId="4" fillId="2" borderId="5" xfId="0" applyFont="1" applyFill="1" applyBorder="1" applyAlignment="1">
      <alignment horizontal="center"/>
    </xf>
    <xf numFmtId="0" fontId="4" fillId="2" borderId="51" xfId="0" applyFont="1" applyFill="1" applyBorder="1" applyAlignment="1">
      <alignment horizontal="center"/>
    </xf>
    <xf numFmtId="2" fontId="4" fillId="2" borderId="1" xfId="0" applyNumberFormat="1" applyFont="1" applyFill="1" applyBorder="1" applyAlignment="1">
      <alignment horizontal="center"/>
    </xf>
    <xf numFmtId="9" fontId="4" fillId="2" borderId="1" xfId="2" applyFont="1" applyFill="1" applyBorder="1" applyAlignment="1">
      <alignment horizontal="center"/>
    </xf>
    <xf numFmtId="9" fontId="4" fillId="2" borderId="34" xfId="2" applyFont="1" applyFill="1" applyBorder="1" applyAlignment="1">
      <alignment horizontal="center"/>
    </xf>
    <xf numFmtId="3" fontId="4" fillId="2" borderId="1" xfId="0" applyNumberFormat="1" applyFont="1" applyFill="1" applyBorder="1" applyAlignment="1">
      <alignment horizontal="center"/>
    </xf>
    <xf numFmtId="3" fontId="4" fillId="2" borderId="34" xfId="0" applyNumberFormat="1" applyFont="1" applyFill="1" applyBorder="1" applyAlignment="1">
      <alignment horizontal="center"/>
    </xf>
    <xf numFmtId="0" fontId="8" fillId="6" borderId="44" xfId="0" applyFont="1" applyFill="1" applyBorder="1" applyAlignment="1">
      <alignment horizontal="center"/>
    </xf>
    <xf numFmtId="0" fontId="8" fillId="6" borderId="40" xfId="0" applyFont="1" applyFill="1" applyBorder="1" applyAlignment="1">
      <alignment horizontal="center"/>
    </xf>
    <xf numFmtId="0" fontId="8" fillId="6" borderId="41" xfId="0" applyFont="1" applyFill="1" applyBorder="1" applyAlignment="1">
      <alignment horizontal="center"/>
    </xf>
    <xf numFmtId="0" fontId="0" fillId="6" borderId="19" xfId="0" applyFill="1" applyBorder="1" applyAlignment="1">
      <alignment horizontal="center"/>
    </xf>
    <xf numFmtId="0" fontId="0" fillId="6" borderId="20" xfId="0" applyFill="1" applyBorder="1" applyAlignment="1">
      <alignment horizontal="center"/>
    </xf>
    <xf numFmtId="0" fontId="8" fillId="6" borderId="45" xfId="0" applyFont="1" applyFill="1" applyBorder="1" applyAlignment="1">
      <alignment horizontal="center"/>
    </xf>
    <xf numFmtId="0" fontId="8" fillId="6" borderId="26" xfId="0" applyFont="1" applyFill="1" applyBorder="1" applyAlignment="1">
      <alignment horizontal="center"/>
    </xf>
    <xf numFmtId="166" fontId="0" fillId="4" borderId="1" xfId="0" applyNumberFormat="1" applyFill="1" applyBorder="1"/>
    <xf numFmtId="166" fontId="0" fillId="4" borderId="8" xfId="0" applyNumberFormat="1" applyFill="1" applyBorder="1"/>
    <xf numFmtId="44" fontId="0" fillId="4" borderId="16" xfId="1" applyFont="1" applyFill="1" applyBorder="1" applyAlignment="1"/>
    <xf numFmtId="44" fontId="0" fillId="4" borderId="17" xfId="1" applyFont="1" applyFill="1" applyBorder="1" applyAlignment="1"/>
    <xf numFmtId="44" fontId="0" fillId="4" borderId="1" xfId="1" applyFont="1" applyFill="1" applyBorder="1" applyAlignment="1"/>
    <xf numFmtId="44" fontId="0" fillId="4" borderId="8" xfId="1" applyFont="1" applyFill="1" applyBorder="1" applyAlignment="1"/>
    <xf numFmtId="9" fontId="0" fillId="4" borderId="10" xfId="2" applyFont="1" applyFill="1" applyBorder="1" applyAlignment="1"/>
    <xf numFmtId="9" fontId="0" fillId="4" borderId="11" xfId="2" applyFont="1" applyFill="1" applyBorder="1" applyAlignment="1"/>
    <xf numFmtId="0" fontId="0" fillId="4" borderId="16" xfId="0" applyFill="1" applyBorder="1"/>
    <xf numFmtId="0" fontId="0" fillId="4" borderId="17" xfId="0" applyFill="1" applyBorder="1"/>
    <xf numFmtId="0" fontId="0" fillId="4" borderId="1" xfId="0" applyFill="1" applyBorder="1"/>
    <xf numFmtId="0" fontId="0" fillId="4" borderId="8" xfId="0" applyFill="1" applyBorder="1"/>
    <xf numFmtId="10" fontId="0" fillId="4" borderId="10" xfId="2" applyNumberFormat="1" applyFont="1" applyFill="1" applyBorder="1" applyAlignment="1"/>
    <xf numFmtId="10" fontId="0" fillId="4" borderId="11" xfId="2" applyNumberFormat="1" applyFont="1" applyFill="1" applyBorder="1" applyAlignment="1"/>
    <xf numFmtId="166" fontId="0" fillId="4" borderId="16" xfId="0" applyNumberFormat="1" applyFill="1" applyBorder="1"/>
    <xf numFmtId="166" fontId="0" fillId="4" borderId="17" xfId="0" applyNumberFormat="1" applyFill="1" applyBorder="1"/>
    <xf numFmtId="44" fontId="0" fillId="7" borderId="1" xfId="1" applyFont="1" applyFill="1" applyBorder="1" applyAlignment="1"/>
    <xf numFmtId="0" fontId="0" fillId="7" borderId="10" xfId="0" applyFill="1" applyBorder="1"/>
    <xf numFmtId="0" fontId="0" fillId="7" borderId="1" xfId="0" applyFill="1" applyBorder="1"/>
    <xf numFmtId="166" fontId="0" fillId="7" borderId="1" xfId="0" applyNumberFormat="1" applyFill="1" applyBorder="1"/>
    <xf numFmtId="0" fontId="0" fillId="6" borderId="15" xfId="0" applyFill="1" applyBorder="1" applyAlignment="1">
      <alignment horizontal="center" wrapText="1"/>
    </xf>
    <xf numFmtId="0" fontId="0" fillId="6" borderId="17" xfId="0" applyFill="1" applyBorder="1" applyAlignment="1">
      <alignment horizontal="center" wrapText="1"/>
    </xf>
    <xf numFmtId="0" fontId="0" fillId="6" borderId="7" xfId="0" applyFill="1" applyBorder="1"/>
    <xf numFmtId="0" fontId="0" fillId="6" borderId="8" xfId="0" applyFill="1" applyBorder="1"/>
    <xf numFmtId="166" fontId="0" fillId="7" borderId="10" xfId="0" applyNumberFormat="1" applyFill="1" applyBorder="1"/>
    <xf numFmtId="0" fontId="0" fillId="2" borderId="7" xfId="0" applyFill="1" applyBorder="1"/>
    <xf numFmtId="0" fontId="0" fillId="2" borderId="8" xfId="0" applyFill="1" applyBorder="1"/>
    <xf numFmtId="0" fontId="0" fillId="2" borderId="52" xfId="0" applyFill="1" applyBorder="1"/>
    <xf numFmtId="0" fontId="0" fillId="2" borderId="53" xfId="0" applyFill="1" applyBorder="1"/>
    <xf numFmtId="0" fontId="0" fillId="6" borderId="18" xfId="0" applyFill="1" applyBorder="1"/>
    <xf numFmtId="0" fontId="0" fillId="6" borderId="20" xfId="0" applyFill="1" applyBorder="1"/>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42" xfId="0" applyBorder="1" applyAlignment="1">
      <alignment horizontal="left" vertical="top" wrapText="1"/>
    </xf>
    <xf numFmtId="0" fontId="0" fillId="0" borderId="0" xfId="0" applyAlignment="1">
      <alignment horizontal="left" vertical="top" wrapText="1"/>
    </xf>
    <xf numFmtId="0" fontId="0" fillId="0" borderId="30" xfId="0" applyBorder="1" applyAlignment="1">
      <alignment horizontal="left" vertical="top" wrapText="1"/>
    </xf>
    <xf numFmtId="0" fontId="0" fillId="0" borderId="43"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2" fillId="4" borderId="34" xfId="0" applyFont="1" applyFill="1" applyBorder="1" applyAlignment="1">
      <alignment horizontal="center"/>
    </xf>
    <xf numFmtId="0" fontId="2" fillId="4" borderId="22" xfId="0" applyFont="1" applyFill="1" applyBorder="1" applyAlignment="1">
      <alignment horizontal="center"/>
    </xf>
    <xf numFmtId="0" fontId="0" fillId="2" borderId="1" xfId="0" applyFill="1" applyBorder="1" applyAlignment="1">
      <alignment horizontal="center"/>
    </xf>
    <xf numFmtId="0" fontId="0" fillId="3" borderId="3" xfId="0" applyFill="1" applyBorder="1" applyAlignment="1">
      <alignment horizontal="center"/>
    </xf>
    <xf numFmtId="0" fontId="2" fillId="4" borderId="1" xfId="0" applyFont="1" applyFill="1" applyBorder="1" applyAlignment="1">
      <alignment horizontal="center"/>
    </xf>
    <xf numFmtId="0" fontId="0" fillId="4" borderId="1" xfId="0" applyFill="1" applyBorder="1" applyAlignment="1">
      <alignment horizontal="center"/>
    </xf>
  </cellXfs>
  <cellStyles count="3">
    <cellStyle name="Currency" xfId="1" builtinId="4"/>
    <cellStyle name="Normal" xfId="0" builtinId="0"/>
    <cellStyle name="Percent" xfId="2" builtinId="5"/>
  </cellStyles>
  <dxfs count="10">
    <dxf>
      <font>
        <color rgb="FF006100"/>
      </font>
      <fill>
        <patternFill>
          <bgColor rgb="FFC6EFCE"/>
        </patternFill>
      </fill>
    </dxf>
    <dxf>
      <font>
        <color rgb="FF9C0006"/>
      </font>
      <fill>
        <patternFill>
          <bgColor rgb="FFFFC7CE"/>
        </patternFill>
      </fill>
    </dxf>
    <dxf>
      <fill>
        <patternFill>
          <bgColor theme="6" tint="0.79998168889431442"/>
        </patternFill>
      </fill>
    </dxf>
    <dxf>
      <font>
        <color theme="9" tint="-0.499984740745262"/>
      </font>
      <fill>
        <patternFill>
          <fgColor auto="1"/>
          <bgColor theme="9" tint="0.79998168889431442"/>
        </patternFill>
      </fill>
    </dxf>
    <dxf>
      <font>
        <color rgb="FF9C0006"/>
      </font>
      <fill>
        <patternFill>
          <bgColor rgb="FFFFC7CE"/>
        </patternFill>
      </fill>
    </dxf>
    <dxf>
      <font>
        <color theme="1"/>
      </font>
      <fill>
        <patternFill>
          <fgColor auto="1"/>
          <bgColor theme="6" tint="0.79998168889431442"/>
        </patternFill>
      </fill>
    </dxf>
    <dxf>
      <font>
        <color rgb="FFFF0000"/>
      </font>
    </dxf>
    <dxf>
      <fill>
        <patternFill>
          <bgColor theme="9" tint="0.79998168889431442"/>
        </patternFill>
      </fill>
    </dxf>
    <dxf>
      <fill>
        <patternFill>
          <bgColor theme="6" tint="0.79998168889431442"/>
        </patternFill>
      </fill>
    </dxf>
    <dxf>
      <font>
        <color rgb="FFC00000"/>
      </font>
    </dxf>
  </dxfs>
  <tableStyles count="0" defaultTableStyle="TableStyleMedium2" defaultPivotStyle="PivotStyleLight16"/>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B732F-ABBF-49CA-82AD-12F45798A318}">
  <sheetPr>
    <pageSetUpPr fitToPage="1"/>
  </sheetPr>
  <dimension ref="B1:H20"/>
  <sheetViews>
    <sheetView workbookViewId="0">
      <selection activeCell="D12" sqref="D12:E20"/>
    </sheetView>
  </sheetViews>
  <sheetFormatPr defaultRowHeight="15" x14ac:dyDescent="0.25"/>
  <cols>
    <col min="1" max="1" width="3.28515625" customWidth="1"/>
    <col min="2" max="2" width="26.42578125" customWidth="1"/>
    <col min="4" max="4" width="13.5703125" customWidth="1"/>
    <col min="5" max="5" width="14.85546875" customWidth="1"/>
    <col min="6" max="6" width="4" customWidth="1"/>
    <col min="7" max="7" width="18.140625" customWidth="1"/>
    <col min="8" max="8" width="14.85546875" customWidth="1"/>
  </cols>
  <sheetData>
    <row r="1" spans="2:8" ht="15.75" thickBot="1" x14ac:dyDescent="0.3"/>
    <row r="2" spans="2:8" ht="15.75" thickBot="1" x14ac:dyDescent="0.3">
      <c r="B2" s="98" t="s">
        <v>44</v>
      </c>
      <c r="C2" s="99"/>
      <c r="D2" s="99"/>
      <c r="E2" s="99"/>
      <c r="F2" s="100"/>
      <c r="G2" s="100"/>
      <c r="H2" s="101"/>
    </row>
    <row r="3" spans="2:8" x14ac:dyDescent="0.25">
      <c r="B3" s="11" t="s">
        <v>45</v>
      </c>
      <c r="C3" s="102" t="s">
        <v>158</v>
      </c>
      <c r="D3" s="102"/>
      <c r="E3" s="103"/>
      <c r="F3" s="17"/>
      <c r="G3" s="18"/>
      <c r="H3" s="19"/>
    </row>
    <row r="4" spans="2:8" x14ac:dyDescent="0.25">
      <c r="B4" s="11" t="s">
        <v>46</v>
      </c>
      <c r="C4" s="96"/>
      <c r="D4" s="96"/>
      <c r="E4" s="97"/>
      <c r="F4" s="20"/>
      <c r="H4" s="12"/>
    </row>
    <row r="5" spans="2:8" x14ac:dyDescent="0.25">
      <c r="B5" s="11" t="s">
        <v>47</v>
      </c>
      <c r="C5" s="96" t="s">
        <v>159</v>
      </c>
      <c r="D5" s="96"/>
      <c r="E5" s="97"/>
      <c r="F5" s="20"/>
      <c r="G5" s="16"/>
      <c r="H5" s="22"/>
    </row>
    <row r="6" spans="2:8" x14ac:dyDescent="0.25">
      <c r="B6" s="11" t="s">
        <v>48</v>
      </c>
      <c r="C6" s="96">
        <v>4</v>
      </c>
      <c r="D6" s="96"/>
      <c r="E6" s="97"/>
      <c r="F6" s="20"/>
      <c r="G6" s="16"/>
      <c r="H6" s="22"/>
    </row>
    <row r="7" spans="2:8" x14ac:dyDescent="0.25">
      <c r="B7" s="11" t="s">
        <v>49</v>
      </c>
      <c r="C7" s="96" t="s">
        <v>160</v>
      </c>
      <c r="D7" s="96"/>
      <c r="E7" s="97"/>
      <c r="F7" s="20"/>
      <c r="H7" s="12"/>
    </row>
    <row r="8" spans="2:8" x14ac:dyDescent="0.25">
      <c r="B8" s="11" t="s">
        <v>50</v>
      </c>
      <c r="C8" s="96" t="s">
        <v>161</v>
      </c>
      <c r="D8" s="96"/>
      <c r="E8" s="97"/>
      <c r="F8" s="20"/>
      <c r="H8" s="12"/>
    </row>
    <row r="9" spans="2:8" ht="15.75" thickBot="1" x14ac:dyDescent="0.3">
      <c r="B9" s="13" t="s">
        <v>51</v>
      </c>
      <c r="C9" s="106"/>
      <c r="D9" s="107"/>
      <c r="E9" s="105"/>
      <c r="F9" s="21"/>
      <c r="G9" s="14"/>
      <c r="H9" s="15"/>
    </row>
    <row r="10" spans="2:8" ht="15.75" thickBot="1" x14ac:dyDescent="0.3"/>
    <row r="11" spans="2:8" ht="15.75" thickBot="1" x14ac:dyDescent="0.3">
      <c r="B11" s="108" t="s">
        <v>52</v>
      </c>
      <c r="C11" s="109"/>
      <c r="D11" s="109"/>
      <c r="E11" s="109"/>
      <c r="F11" s="109"/>
      <c r="G11" s="109"/>
      <c r="H11" s="110"/>
    </row>
    <row r="12" spans="2:8" x14ac:dyDescent="0.25">
      <c r="B12" s="29"/>
      <c r="C12" s="30" t="s">
        <v>53</v>
      </c>
      <c r="D12" s="111" t="s">
        <v>162</v>
      </c>
      <c r="E12" s="112"/>
      <c r="F12" s="17"/>
      <c r="G12" s="27"/>
      <c r="H12" s="19"/>
    </row>
    <row r="13" spans="2:8" x14ac:dyDescent="0.25">
      <c r="B13" s="11"/>
      <c r="C13" s="23" t="s">
        <v>54</v>
      </c>
      <c r="D13" s="96" t="s">
        <v>163</v>
      </c>
      <c r="E13" s="97"/>
      <c r="F13" s="20"/>
      <c r="G13" s="28"/>
      <c r="H13" s="12"/>
    </row>
    <row r="14" spans="2:8" x14ac:dyDescent="0.25">
      <c r="B14" s="24"/>
      <c r="C14" s="25" t="s">
        <v>55</v>
      </c>
      <c r="D14" s="113" t="s">
        <v>164</v>
      </c>
      <c r="E14" s="97"/>
      <c r="F14" s="20"/>
      <c r="H14" s="12"/>
    </row>
    <row r="15" spans="2:8" x14ac:dyDescent="0.25">
      <c r="B15" s="24"/>
      <c r="C15" s="25" t="s">
        <v>56</v>
      </c>
      <c r="D15" s="114">
        <v>0.34</v>
      </c>
      <c r="E15" s="115"/>
      <c r="F15" s="20"/>
      <c r="H15" s="12"/>
    </row>
    <row r="16" spans="2:8" x14ac:dyDescent="0.25">
      <c r="B16" s="24"/>
      <c r="C16" s="25" t="s">
        <v>57</v>
      </c>
      <c r="D16" s="116">
        <v>89000</v>
      </c>
      <c r="E16" s="117"/>
      <c r="F16" s="20"/>
      <c r="H16" s="12"/>
    </row>
    <row r="17" spans="2:8" x14ac:dyDescent="0.25">
      <c r="B17" s="24"/>
      <c r="C17" s="25" t="s">
        <v>58</v>
      </c>
      <c r="D17" s="96">
        <v>0</v>
      </c>
      <c r="E17" s="97"/>
      <c r="F17" s="20"/>
      <c r="H17" s="12"/>
    </row>
    <row r="18" spans="2:8" x14ac:dyDescent="0.25">
      <c r="B18" s="24"/>
      <c r="C18" s="25" t="s">
        <v>59</v>
      </c>
      <c r="D18" s="116">
        <f>D16-D17</f>
        <v>89000</v>
      </c>
      <c r="E18" s="117"/>
      <c r="F18" s="20"/>
      <c r="H18" s="12"/>
    </row>
    <row r="19" spans="2:8" x14ac:dyDescent="0.25">
      <c r="B19" s="24"/>
      <c r="C19" s="25" t="s">
        <v>60</v>
      </c>
      <c r="D19" s="96">
        <v>0</v>
      </c>
      <c r="E19" s="97"/>
      <c r="F19" s="20"/>
      <c r="G19" s="16"/>
      <c r="H19" s="22"/>
    </row>
    <row r="20" spans="2:8" ht="15.75" thickBot="1" x14ac:dyDescent="0.3">
      <c r="B20" s="13"/>
      <c r="C20" s="26" t="s">
        <v>61</v>
      </c>
      <c r="D20" s="104">
        <f>D18-D19</f>
        <v>89000</v>
      </c>
      <c r="E20" s="105"/>
      <c r="F20" s="21"/>
      <c r="G20" s="31"/>
      <c r="H20" s="32"/>
    </row>
  </sheetData>
  <mergeCells count="18">
    <mergeCell ref="D20:E20"/>
    <mergeCell ref="C8:E8"/>
    <mergeCell ref="C9:E9"/>
    <mergeCell ref="B11:H11"/>
    <mergeCell ref="D12:E12"/>
    <mergeCell ref="D13:E13"/>
    <mergeCell ref="D14:E14"/>
    <mergeCell ref="D15:E15"/>
    <mergeCell ref="D16:E16"/>
    <mergeCell ref="D17:E17"/>
    <mergeCell ref="D18:E18"/>
    <mergeCell ref="D19:E19"/>
    <mergeCell ref="C7:E7"/>
    <mergeCell ref="B2:H2"/>
    <mergeCell ref="C3:E3"/>
    <mergeCell ref="C4:E4"/>
    <mergeCell ref="C5:E5"/>
    <mergeCell ref="C6:E6"/>
  </mergeCells>
  <pageMargins left="0.25" right="0.25" top="0.75" bottom="0.75" header="0.3" footer="0.3"/>
  <pageSetup scale="97"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B5346-49B1-4F81-9DA2-210A6369CB22}">
  <dimension ref="A1:W21"/>
  <sheetViews>
    <sheetView workbookViewId="0">
      <selection activeCell="A21" sqref="A21:D21"/>
    </sheetView>
  </sheetViews>
  <sheetFormatPr defaultRowHeight="15" x14ac:dyDescent="0.25"/>
  <cols>
    <col min="1" max="1" width="29.85546875" customWidth="1"/>
    <col min="2" max="2" width="18.7109375" customWidth="1"/>
    <col min="4" max="4" width="14.7109375" customWidth="1"/>
    <col min="16" max="16" width="0" hidden="1" customWidth="1"/>
    <col min="17" max="17" width="18.85546875" customWidth="1"/>
    <col min="19" max="19" width="9.140625" hidden="1" customWidth="1"/>
    <col min="20" max="20" width="13.42578125" hidden="1" customWidth="1"/>
    <col min="21" max="21" width="14.7109375" hidden="1" customWidth="1"/>
    <col min="22" max="22" width="11.28515625" hidden="1" customWidth="1"/>
    <col min="23" max="23" width="9.140625" hidden="1" customWidth="1"/>
  </cols>
  <sheetData>
    <row r="1" spans="1:23" x14ac:dyDescent="0.25">
      <c r="A1" t="s">
        <v>83</v>
      </c>
    </row>
    <row r="2" spans="1:23" x14ac:dyDescent="0.25">
      <c r="S2" t="s">
        <v>69</v>
      </c>
      <c r="T2" t="s">
        <v>67</v>
      </c>
      <c r="U2" t="s">
        <v>68</v>
      </c>
    </row>
    <row r="3" spans="1:23" x14ac:dyDescent="0.25">
      <c r="A3" t="s">
        <v>1</v>
      </c>
    </row>
    <row r="4" spans="1:23" ht="30" x14ac:dyDescent="0.25">
      <c r="A4" s="2" t="s">
        <v>15</v>
      </c>
      <c r="B4" s="2" t="s">
        <v>16</v>
      </c>
      <c r="C4" s="2" t="s">
        <v>2</v>
      </c>
      <c r="D4" s="3" t="s">
        <v>3</v>
      </c>
      <c r="E4" s="3" t="s">
        <v>4</v>
      </c>
      <c r="F4" s="3" t="s">
        <v>5</v>
      </c>
      <c r="G4" s="3" t="s">
        <v>6</v>
      </c>
      <c r="H4" s="3" t="s">
        <v>7</v>
      </c>
      <c r="I4" s="3" t="s">
        <v>8</v>
      </c>
      <c r="J4" s="3" t="s">
        <v>9</v>
      </c>
      <c r="K4" s="3" t="s">
        <v>10</v>
      </c>
      <c r="L4" s="3" t="s">
        <v>11</v>
      </c>
      <c r="M4" s="3" t="s">
        <v>12</v>
      </c>
      <c r="N4" s="3" t="s">
        <v>13</v>
      </c>
      <c r="O4" s="3" t="s">
        <v>14</v>
      </c>
      <c r="P4" s="2"/>
      <c r="Q4" s="3" t="s">
        <v>23</v>
      </c>
      <c r="T4" s="33" t="s">
        <v>66</v>
      </c>
      <c r="U4" t="s">
        <v>64</v>
      </c>
      <c r="V4" t="s">
        <v>65</v>
      </c>
      <c r="W4" t="s">
        <v>74</v>
      </c>
    </row>
    <row r="5" spans="1:23" x14ac:dyDescent="0.25">
      <c r="A5" s="1"/>
      <c r="B5" s="1" t="s">
        <v>21</v>
      </c>
      <c r="C5" s="1"/>
      <c r="D5" s="1"/>
      <c r="E5" s="1"/>
      <c r="F5" s="1"/>
      <c r="G5" s="1"/>
      <c r="H5" s="1"/>
      <c r="I5" s="1"/>
      <c r="J5" s="1"/>
      <c r="K5" s="1"/>
      <c r="L5" s="1"/>
      <c r="M5" s="1"/>
      <c r="N5" s="1"/>
      <c r="O5" s="1"/>
      <c r="P5">
        <f>SUM(C5:N5)</f>
        <v>0</v>
      </c>
      <c r="Q5" s="57" t="str">
        <f>IF(ABS(P5-O5)&lt;3," ","Sum not correct")</f>
        <v xml:space="preserve"> </v>
      </c>
      <c r="S5" t="str">
        <f>VLOOKUP(B5,'Calcs and References'!A$2:E$9,5,FALSE)</f>
        <v>ELEC</v>
      </c>
      <c r="T5">
        <f>VLOOKUP(B5,'Calcs and References'!A$2:E$9,4,FALSE)*O5</f>
        <v>0</v>
      </c>
      <c r="U5">
        <f>T5*1000/'Basic Info'!$D$18</f>
        <v>0</v>
      </c>
      <c r="V5">
        <f>U5*VLOOKUP(B5,'Calcs and References'!A$2:D$9,3,FALSE)</f>
        <v>0</v>
      </c>
      <c r="W5">
        <f>VLOOKUP(B5,'Calcs and References'!A$2:E$9,2,FALSE)*O5</f>
        <v>0</v>
      </c>
    </row>
    <row r="6" spans="1:23" x14ac:dyDescent="0.25">
      <c r="A6" s="1"/>
      <c r="B6" s="1" t="s">
        <v>22</v>
      </c>
      <c r="C6" s="1"/>
      <c r="D6" s="1"/>
      <c r="E6" s="1"/>
      <c r="F6" s="1"/>
      <c r="G6" s="1"/>
      <c r="H6" s="1"/>
      <c r="I6" s="1"/>
      <c r="J6" s="1"/>
      <c r="K6" s="1"/>
      <c r="L6" s="1"/>
      <c r="M6" s="1"/>
      <c r="N6" s="1"/>
      <c r="O6" s="1"/>
      <c r="P6">
        <f>SUM(C6:N6)</f>
        <v>0</v>
      </c>
      <c r="Q6" s="57"/>
      <c r="S6" t="str">
        <f>VLOOKUP(B6,'Calcs and References'!A$2:E$9,5,FALSE)</f>
        <v>FF</v>
      </c>
      <c r="T6">
        <f>VLOOKUP(B6,'Calcs and References'!A$2:E$9,4,FALSE)*O6</f>
        <v>0</v>
      </c>
      <c r="U6">
        <f>T6*1000/'Basic Info'!$D$18</f>
        <v>0</v>
      </c>
      <c r="V6">
        <f>U6*VLOOKUP(B6,'Calcs and References'!A$2:D$9,3,FALSE)</f>
        <v>0</v>
      </c>
      <c r="W6">
        <f>VLOOKUP(B6,'Calcs and References'!A$2:E$9,2,FALSE)*O6</f>
        <v>0</v>
      </c>
    </row>
    <row r="7" spans="1:23" x14ac:dyDescent="0.25">
      <c r="A7" s="1"/>
      <c r="B7" s="1"/>
      <c r="C7" s="1"/>
      <c r="D7" s="1"/>
      <c r="E7" s="1"/>
      <c r="F7" s="1"/>
      <c r="G7" s="1"/>
      <c r="H7" s="1"/>
      <c r="I7" s="1"/>
      <c r="J7" s="1"/>
      <c r="K7" s="1"/>
      <c r="L7" s="1"/>
      <c r="M7" s="1"/>
      <c r="N7" s="1"/>
      <c r="O7" s="1"/>
      <c r="P7">
        <f t="shared" ref="P7:P8" si="0">SUM(C7:N7)</f>
        <v>0</v>
      </c>
      <c r="Q7" s="57"/>
      <c r="S7" t="e">
        <f>VLOOKUP(B7,'Calcs and References'!A$2:E$9,5,FALSE)</f>
        <v>#N/A</v>
      </c>
      <c r="T7" t="e">
        <f>VLOOKUP(B7,'Calcs and References'!A$2:E$9,4,FALSE)*O7</f>
        <v>#N/A</v>
      </c>
      <c r="U7" t="e">
        <f>T7*1000/'Basic Info'!$D$18</f>
        <v>#N/A</v>
      </c>
      <c r="V7" t="e">
        <f>U7*VLOOKUP(B7,'Calcs and References'!A$2:D$9,3,FALSE)</f>
        <v>#N/A</v>
      </c>
      <c r="W7" t="e">
        <f>VLOOKUP(B7,'Calcs and References'!A$2:E$9,2,FALSE)*O7</f>
        <v>#N/A</v>
      </c>
    </row>
    <row r="8" spans="1:23" x14ac:dyDescent="0.25">
      <c r="A8" s="1"/>
      <c r="B8" s="1"/>
      <c r="C8" s="1"/>
      <c r="D8" s="1"/>
      <c r="E8" s="1"/>
      <c r="F8" s="1"/>
      <c r="G8" s="1"/>
      <c r="H8" s="1"/>
      <c r="I8" s="1"/>
      <c r="J8" s="1"/>
      <c r="K8" s="1"/>
      <c r="L8" s="1"/>
      <c r="M8" s="1"/>
      <c r="N8" s="1"/>
      <c r="O8" s="1"/>
      <c r="P8">
        <f t="shared" si="0"/>
        <v>0</v>
      </c>
      <c r="Q8" s="57"/>
      <c r="S8" t="e">
        <f>VLOOKUP(B8,'Calcs and References'!A$2:E$9,5,FALSE)</f>
        <v>#N/A</v>
      </c>
      <c r="T8" t="e">
        <f>VLOOKUP(B8,'Calcs and References'!A$2:E$9,4,FALSE)*O8</f>
        <v>#N/A</v>
      </c>
      <c r="U8" t="e">
        <f>T8*1000/'Basic Info'!$D$18</f>
        <v>#N/A</v>
      </c>
      <c r="V8" t="e">
        <f>U8*VLOOKUP(B8,'Calcs and References'!A$2:D$9,3,FALSE)</f>
        <v>#N/A</v>
      </c>
      <c r="W8" t="e">
        <f>VLOOKUP(B8,'Calcs and References'!A$2:E$9,2,FALSE)*O8</f>
        <v>#N/A</v>
      </c>
    </row>
    <row r="9" spans="1:23" x14ac:dyDescent="0.25">
      <c r="V9">
        <f>SUMIF(V5:V8,"&lt;&gt;#N/A")</f>
        <v>0</v>
      </c>
      <c r="W9">
        <f>SUMIF(W5:W8,"&lt;&gt;#N/A")</f>
        <v>0</v>
      </c>
    </row>
    <row r="10" spans="1:23" x14ac:dyDescent="0.25">
      <c r="T10" t="s">
        <v>70</v>
      </c>
      <c r="U10" t="s">
        <v>71</v>
      </c>
      <c r="V10" t="s">
        <v>123</v>
      </c>
    </row>
    <row r="11" spans="1:23" x14ac:dyDescent="0.25">
      <c r="A11" t="s">
        <v>25</v>
      </c>
      <c r="T11">
        <f>SUMIF(S5:S8,S2,O5:O8)</f>
        <v>0</v>
      </c>
      <c r="U11" s="34">
        <f>SUMIF(S5:S8,S2,T5:T8)</f>
        <v>0</v>
      </c>
      <c r="V11">
        <f>U11*'Calcs and References'!C2</f>
        <v>0</v>
      </c>
    </row>
    <row r="12" spans="1:23" ht="45" x14ac:dyDescent="0.25">
      <c r="A12" s="2" t="s">
        <v>26</v>
      </c>
      <c r="B12" s="2" t="s">
        <v>27</v>
      </c>
      <c r="C12" s="2" t="s">
        <v>33</v>
      </c>
      <c r="D12" s="3" t="s">
        <v>28</v>
      </c>
      <c r="E12" s="3" t="s">
        <v>29</v>
      </c>
      <c r="F12" s="3" t="s">
        <v>30</v>
      </c>
      <c r="G12" s="3" t="s">
        <v>31</v>
      </c>
      <c r="U12" t="s">
        <v>72</v>
      </c>
    </row>
    <row r="13" spans="1:23" x14ac:dyDescent="0.25">
      <c r="A13" s="1"/>
      <c r="B13" s="1"/>
      <c r="C13" s="1"/>
      <c r="D13" s="1"/>
      <c r="E13" s="1"/>
      <c r="F13" s="1"/>
      <c r="G13" s="1"/>
      <c r="H13" s="5"/>
      <c r="U13">
        <f>SUMIF(S5:S8,T2,T5:T8)</f>
        <v>0</v>
      </c>
      <c r="V13">
        <f>U13*'Calcs and References'!C3</f>
        <v>0</v>
      </c>
    </row>
    <row r="14" spans="1:23" x14ac:dyDescent="0.25">
      <c r="A14" s="1"/>
      <c r="B14" s="1"/>
      <c r="C14" s="1"/>
      <c r="D14" s="1"/>
      <c r="E14" s="1"/>
      <c r="F14" s="1"/>
      <c r="G14" s="1"/>
      <c r="H14" s="5"/>
      <c r="U14" t="s">
        <v>73</v>
      </c>
    </row>
    <row r="15" spans="1:23" x14ac:dyDescent="0.25">
      <c r="A15" s="1"/>
      <c r="B15" s="1"/>
      <c r="C15" s="1"/>
      <c r="D15" s="1"/>
      <c r="E15" s="1"/>
      <c r="F15" s="1"/>
      <c r="G15" s="1"/>
      <c r="H15" s="5"/>
      <c r="U15">
        <f>SUMIF(S5:S8,U2,T5:T8)</f>
        <v>0</v>
      </c>
      <c r="V15">
        <f>U15*'Calcs and References'!C6</f>
        <v>0</v>
      </c>
    </row>
    <row r="16" spans="1:23" x14ac:dyDescent="0.25">
      <c r="A16" s="1"/>
      <c r="B16" s="1"/>
      <c r="C16" s="1"/>
      <c r="D16" s="1"/>
      <c r="E16" s="1"/>
      <c r="F16" s="1"/>
      <c r="G16" s="1"/>
      <c r="H16" s="5"/>
    </row>
    <row r="17" spans="1:7" ht="30" x14ac:dyDescent="0.25">
      <c r="E17" s="3" t="s">
        <v>32</v>
      </c>
      <c r="F17" s="168" t="s">
        <v>23</v>
      </c>
      <c r="G17" s="168"/>
    </row>
    <row r="18" spans="1:7" x14ac:dyDescent="0.25">
      <c r="E18" s="1"/>
      <c r="F18" s="169" t="str">
        <f>IF(ABS(E13+E14+E15+E16-E18)&lt;3," ","Sum not correct")</f>
        <v xml:space="preserve"> </v>
      </c>
      <c r="G18" s="169"/>
    </row>
    <row r="20" spans="1:7" x14ac:dyDescent="0.25">
      <c r="A20" s="2" t="s">
        <v>37</v>
      </c>
    </row>
    <row r="21" spans="1:7" x14ac:dyDescent="0.25">
      <c r="A21" s="167"/>
      <c r="B21" s="167"/>
      <c r="C21" s="167"/>
      <c r="D21" s="167"/>
    </row>
  </sheetData>
  <mergeCells count="3">
    <mergeCell ref="F17:G17"/>
    <mergeCell ref="F18:G18"/>
    <mergeCell ref="A21:D2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632C55-71F0-4E21-9FD8-60A3A8FDCB77}">
          <x14:formula1>
            <xm:f>'Calcs and References'!$A$2:$A$9</xm:f>
          </x14:formula1>
          <xm:sqref>B5:B8 B13:B16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9713A-5FC6-484D-849D-DE791A45B3B8}">
  <dimension ref="A1:W21"/>
  <sheetViews>
    <sheetView workbookViewId="0">
      <selection activeCell="A3" sqref="A3:Q18"/>
    </sheetView>
  </sheetViews>
  <sheetFormatPr defaultRowHeight="15" x14ac:dyDescent="0.25"/>
  <cols>
    <col min="1" max="1" width="29.85546875" customWidth="1"/>
    <col min="2" max="2" width="18.7109375" customWidth="1"/>
    <col min="4" max="4" width="14.7109375" customWidth="1"/>
    <col min="16" max="16" width="0" hidden="1" customWidth="1"/>
    <col min="17" max="17" width="18.85546875" customWidth="1"/>
    <col min="19" max="19" width="9.140625" customWidth="1"/>
    <col min="20" max="20" width="13.42578125" customWidth="1"/>
    <col min="21" max="21" width="14.7109375" customWidth="1"/>
    <col min="22" max="22" width="11.28515625" customWidth="1"/>
    <col min="23" max="23" width="9.140625" customWidth="1"/>
  </cols>
  <sheetData>
    <row r="1" spans="1:23" x14ac:dyDescent="0.25">
      <c r="A1" t="s">
        <v>85</v>
      </c>
    </row>
    <row r="2" spans="1:23" x14ac:dyDescent="0.25">
      <c r="S2" t="s">
        <v>69</v>
      </c>
      <c r="T2" t="s">
        <v>67</v>
      </c>
      <c r="U2" t="s">
        <v>68</v>
      </c>
    </row>
    <row r="3" spans="1:23" x14ac:dyDescent="0.25">
      <c r="A3" t="s">
        <v>1</v>
      </c>
    </row>
    <row r="4" spans="1:23" ht="30" x14ac:dyDescent="0.25">
      <c r="A4" s="2" t="s">
        <v>15</v>
      </c>
      <c r="B4" s="2" t="s">
        <v>16</v>
      </c>
      <c r="C4" s="2" t="s">
        <v>2</v>
      </c>
      <c r="D4" s="3" t="s">
        <v>3</v>
      </c>
      <c r="E4" s="3" t="s">
        <v>4</v>
      </c>
      <c r="F4" s="3" t="s">
        <v>5</v>
      </c>
      <c r="G4" s="3" t="s">
        <v>6</v>
      </c>
      <c r="H4" s="3" t="s">
        <v>7</v>
      </c>
      <c r="I4" s="3" t="s">
        <v>8</v>
      </c>
      <c r="J4" s="3" t="s">
        <v>9</v>
      </c>
      <c r="K4" s="3" t="s">
        <v>10</v>
      </c>
      <c r="L4" s="3" t="s">
        <v>11</v>
      </c>
      <c r="M4" s="3" t="s">
        <v>12</v>
      </c>
      <c r="N4" s="3" t="s">
        <v>13</v>
      </c>
      <c r="O4" s="3" t="s">
        <v>14</v>
      </c>
      <c r="P4" s="2"/>
      <c r="Q4" s="3" t="s">
        <v>23</v>
      </c>
      <c r="T4" s="33" t="s">
        <v>66</v>
      </c>
      <c r="U4" t="s">
        <v>64</v>
      </c>
      <c r="V4" t="s">
        <v>65</v>
      </c>
      <c r="W4" t="s">
        <v>74</v>
      </c>
    </row>
    <row r="5" spans="1:23" x14ac:dyDescent="0.25">
      <c r="A5" s="1"/>
      <c r="B5" s="1" t="s">
        <v>21</v>
      </c>
      <c r="C5" s="1"/>
      <c r="D5" s="1"/>
      <c r="E5" s="1"/>
      <c r="F5" s="1"/>
      <c r="G5" s="1"/>
      <c r="H5" s="1"/>
      <c r="I5" s="1"/>
      <c r="J5" s="1"/>
      <c r="K5" s="1"/>
      <c r="L5" s="1"/>
      <c r="M5" s="1"/>
      <c r="N5" s="1"/>
      <c r="O5" s="1"/>
      <c r="P5">
        <f>SUM(C5:N5)</f>
        <v>0</v>
      </c>
      <c r="Q5" s="57" t="str">
        <f>IF(ABS(P5-O5)&lt;3," ","Sum not correct")</f>
        <v xml:space="preserve"> </v>
      </c>
      <c r="S5" t="str">
        <f>VLOOKUP(B5,'Calcs and References'!A$2:E$9,5,FALSE)</f>
        <v>ELEC</v>
      </c>
      <c r="T5">
        <f>VLOOKUP(B5,'Calcs and References'!A$2:E$9,4,FALSE)*O5</f>
        <v>0</v>
      </c>
      <c r="U5">
        <f>T5*1000/'Basic Info'!$D$18</f>
        <v>0</v>
      </c>
      <c r="V5">
        <f>U5*VLOOKUP(B5,'Calcs and References'!A$2:D$9,3,FALSE)</f>
        <v>0</v>
      </c>
      <c r="W5">
        <f>VLOOKUP(B5,'Calcs and References'!A$2:E$9,2,FALSE)*O5</f>
        <v>0</v>
      </c>
    </row>
    <row r="6" spans="1:23" x14ac:dyDescent="0.25">
      <c r="A6" s="1"/>
      <c r="B6" s="1" t="s">
        <v>22</v>
      </c>
      <c r="C6" s="1"/>
      <c r="D6" s="1"/>
      <c r="E6" s="1"/>
      <c r="F6" s="1"/>
      <c r="G6" s="1"/>
      <c r="H6" s="1"/>
      <c r="I6" s="1"/>
      <c r="J6" s="1"/>
      <c r="K6" s="1"/>
      <c r="L6" s="1"/>
      <c r="M6" s="1"/>
      <c r="N6" s="1"/>
      <c r="O6" s="1"/>
      <c r="P6">
        <f>SUM(C6:N6)</f>
        <v>0</v>
      </c>
      <c r="Q6" s="57"/>
      <c r="S6" t="str">
        <f>VLOOKUP(B6,'Calcs and References'!A$2:E$9,5,FALSE)</f>
        <v>FF</v>
      </c>
      <c r="T6">
        <f>VLOOKUP(B6,'Calcs and References'!A$2:E$9,4,FALSE)*O6</f>
        <v>0</v>
      </c>
      <c r="U6">
        <f>T6*1000/'Basic Info'!$D$18</f>
        <v>0</v>
      </c>
      <c r="V6">
        <f>U6*VLOOKUP(B6,'Calcs and References'!A$2:D$9,3,FALSE)</f>
        <v>0</v>
      </c>
      <c r="W6">
        <f>VLOOKUP(B6,'Calcs and References'!A$2:E$9,2,FALSE)*O6</f>
        <v>0</v>
      </c>
    </row>
    <row r="7" spans="1:23" x14ac:dyDescent="0.25">
      <c r="A7" s="1"/>
      <c r="B7" s="1"/>
      <c r="C7" s="1"/>
      <c r="D7" s="1"/>
      <c r="E7" s="1"/>
      <c r="F7" s="1"/>
      <c r="G7" s="1"/>
      <c r="H7" s="1"/>
      <c r="I7" s="1"/>
      <c r="J7" s="1"/>
      <c r="K7" s="1"/>
      <c r="L7" s="1"/>
      <c r="M7" s="1"/>
      <c r="N7" s="1"/>
      <c r="O7" s="1"/>
      <c r="P7">
        <f t="shared" ref="P7:P8" si="0">SUM(C7:N7)</f>
        <v>0</v>
      </c>
      <c r="Q7" s="57"/>
      <c r="S7" t="e">
        <f>VLOOKUP(B7,'Calcs and References'!A$2:E$9,5,FALSE)</f>
        <v>#N/A</v>
      </c>
      <c r="T7" t="e">
        <f>VLOOKUP(B7,'Calcs and References'!A$2:E$9,4,FALSE)*O7</f>
        <v>#N/A</v>
      </c>
      <c r="U7" t="e">
        <f>T7*1000/'Basic Info'!$D$18</f>
        <v>#N/A</v>
      </c>
      <c r="V7" t="e">
        <f>U7*VLOOKUP(B7,'Calcs and References'!A$2:D$9,3,FALSE)</f>
        <v>#N/A</v>
      </c>
      <c r="W7" t="e">
        <f>VLOOKUP(B7,'Calcs and References'!A$2:E$9,2,FALSE)*O7</f>
        <v>#N/A</v>
      </c>
    </row>
    <row r="8" spans="1:23" x14ac:dyDescent="0.25">
      <c r="A8" s="1"/>
      <c r="B8" s="1"/>
      <c r="C8" s="1"/>
      <c r="D8" s="1"/>
      <c r="E8" s="1"/>
      <c r="F8" s="1"/>
      <c r="G8" s="1"/>
      <c r="H8" s="1"/>
      <c r="I8" s="1"/>
      <c r="J8" s="1"/>
      <c r="K8" s="1"/>
      <c r="L8" s="1"/>
      <c r="M8" s="1"/>
      <c r="N8" s="1"/>
      <c r="O8" s="1"/>
      <c r="P8">
        <f t="shared" si="0"/>
        <v>0</v>
      </c>
      <c r="Q8" s="57"/>
      <c r="S8" t="e">
        <f>VLOOKUP(B8,'Calcs and References'!A$2:E$9,5,FALSE)</f>
        <v>#N/A</v>
      </c>
      <c r="T8" t="e">
        <f>VLOOKUP(B8,'Calcs and References'!A$2:E$9,4,FALSE)*O8</f>
        <v>#N/A</v>
      </c>
      <c r="U8" t="e">
        <f>T8*1000/'Basic Info'!$D$18</f>
        <v>#N/A</v>
      </c>
      <c r="V8" t="e">
        <f>U8*VLOOKUP(B8,'Calcs and References'!A$2:D$9,3,FALSE)</f>
        <v>#N/A</v>
      </c>
      <c r="W8" t="e">
        <f>VLOOKUP(B8,'Calcs and References'!A$2:E$9,2,FALSE)*O8</f>
        <v>#N/A</v>
      </c>
    </row>
    <row r="9" spans="1:23" x14ac:dyDescent="0.25">
      <c r="V9">
        <f>SUMIF(V5:V8,"&lt;&gt;#N/A")</f>
        <v>0</v>
      </c>
      <c r="W9">
        <f>SUMIF(W5:W8,"&lt;&gt;#N/A")</f>
        <v>0</v>
      </c>
    </row>
    <row r="10" spans="1:23" x14ac:dyDescent="0.25">
      <c r="T10" t="s">
        <v>70</v>
      </c>
      <c r="U10" t="s">
        <v>71</v>
      </c>
      <c r="V10" t="s">
        <v>123</v>
      </c>
    </row>
    <row r="11" spans="1:23" x14ac:dyDescent="0.25">
      <c r="A11" t="s">
        <v>25</v>
      </c>
      <c r="T11">
        <f>SUMIF(S5:S8,S2,O5:O8)</f>
        <v>0</v>
      </c>
      <c r="U11" s="34">
        <f>SUMIF(S5:S8,S2,T5:T8)</f>
        <v>0</v>
      </c>
      <c r="V11">
        <f>U11*'Calcs and References'!C2</f>
        <v>0</v>
      </c>
    </row>
    <row r="12" spans="1:23" ht="45" x14ac:dyDescent="0.25">
      <c r="A12" s="2" t="s">
        <v>26</v>
      </c>
      <c r="B12" s="2" t="s">
        <v>27</v>
      </c>
      <c r="C12" s="2" t="s">
        <v>33</v>
      </c>
      <c r="D12" s="3" t="s">
        <v>28</v>
      </c>
      <c r="E12" s="3" t="s">
        <v>29</v>
      </c>
      <c r="F12" s="3" t="s">
        <v>30</v>
      </c>
      <c r="G12" s="3" t="s">
        <v>31</v>
      </c>
      <c r="U12" t="s">
        <v>72</v>
      </c>
    </row>
    <row r="13" spans="1:23" x14ac:dyDescent="0.25">
      <c r="A13" s="1"/>
      <c r="B13" s="1"/>
      <c r="C13" s="1"/>
      <c r="D13" s="1"/>
      <c r="E13" s="1"/>
      <c r="F13" s="1"/>
      <c r="G13" s="1"/>
      <c r="H13" s="5"/>
      <c r="U13">
        <f>SUMIF(S5:S8,T2,T5:T8)</f>
        <v>0</v>
      </c>
      <c r="V13">
        <f>U13*'Calcs and References'!C3</f>
        <v>0</v>
      </c>
    </row>
    <row r="14" spans="1:23" x14ac:dyDescent="0.25">
      <c r="A14" s="1"/>
      <c r="B14" s="1"/>
      <c r="C14" s="1"/>
      <c r="D14" s="1"/>
      <c r="E14" s="1"/>
      <c r="F14" s="1"/>
      <c r="G14" s="1"/>
      <c r="H14" s="5"/>
      <c r="U14" t="s">
        <v>73</v>
      </c>
    </row>
    <row r="15" spans="1:23" x14ac:dyDescent="0.25">
      <c r="A15" s="1"/>
      <c r="B15" s="1"/>
      <c r="C15" s="1"/>
      <c r="D15" s="1"/>
      <c r="E15" s="1"/>
      <c r="F15" s="1"/>
      <c r="G15" s="1"/>
      <c r="H15" s="5"/>
      <c r="U15">
        <f>SUMIF(S5:S8,U2,T5:T8)</f>
        <v>0</v>
      </c>
      <c r="V15">
        <f>U15*'Calcs and References'!C6</f>
        <v>0</v>
      </c>
    </row>
    <row r="16" spans="1:23" x14ac:dyDescent="0.25">
      <c r="A16" s="1"/>
      <c r="B16" s="1"/>
      <c r="C16" s="1"/>
      <c r="D16" s="1"/>
      <c r="E16" s="1"/>
      <c r="F16" s="1"/>
      <c r="G16" s="1"/>
      <c r="H16" s="5"/>
    </row>
    <row r="17" spans="1:7" ht="30" x14ac:dyDescent="0.25">
      <c r="E17" s="3" t="s">
        <v>32</v>
      </c>
      <c r="F17" s="168" t="s">
        <v>23</v>
      </c>
      <c r="G17" s="168"/>
    </row>
    <row r="18" spans="1:7" x14ac:dyDescent="0.25">
      <c r="E18" s="1"/>
      <c r="F18" s="169" t="str">
        <f>IF(ABS(E13+E14+E15+E16-E18)&lt;3," ","Sum not correct")</f>
        <v xml:space="preserve"> </v>
      </c>
      <c r="G18" s="169"/>
    </row>
    <row r="20" spans="1:7" x14ac:dyDescent="0.25">
      <c r="A20" s="2" t="s">
        <v>37</v>
      </c>
    </row>
    <row r="21" spans="1:7" x14ac:dyDescent="0.25">
      <c r="A21" s="167"/>
      <c r="B21" s="167"/>
      <c r="C21" s="167"/>
      <c r="D21" s="167"/>
    </row>
  </sheetData>
  <mergeCells count="3">
    <mergeCell ref="F17:G17"/>
    <mergeCell ref="F18:G18"/>
    <mergeCell ref="A21:D2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CF6CF9F-958E-4B36-8450-2ABC41FFEB31}">
          <x14:formula1>
            <xm:f>'Calcs and References'!$A$2:$A$9</xm:f>
          </x14:formula1>
          <xm:sqref>B5:B8 B13:B16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064AD-80B6-459A-82BA-7BFDF1C79FED}">
  <dimension ref="A1:W21"/>
  <sheetViews>
    <sheetView workbookViewId="0">
      <selection activeCell="A3" sqref="A3:Q18"/>
    </sheetView>
  </sheetViews>
  <sheetFormatPr defaultRowHeight="15" x14ac:dyDescent="0.25"/>
  <cols>
    <col min="1" max="1" width="29.85546875" customWidth="1"/>
    <col min="2" max="2" width="18.7109375" customWidth="1"/>
    <col min="4" max="4" width="14.7109375" customWidth="1"/>
    <col min="16" max="16" width="0" hidden="1" customWidth="1"/>
    <col min="17" max="17" width="18.85546875" customWidth="1"/>
    <col min="19" max="19" width="9.140625" customWidth="1"/>
    <col min="20" max="20" width="13.42578125" customWidth="1"/>
    <col min="21" max="21" width="14.7109375" customWidth="1"/>
    <col min="22" max="22" width="11.28515625" customWidth="1"/>
    <col min="23" max="23" width="9.140625" customWidth="1"/>
  </cols>
  <sheetData>
    <row r="1" spans="1:23" x14ac:dyDescent="0.25">
      <c r="A1" t="s">
        <v>86</v>
      </c>
    </row>
    <row r="2" spans="1:23" x14ac:dyDescent="0.25">
      <c r="S2" t="s">
        <v>69</v>
      </c>
      <c r="T2" t="s">
        <v>67</v>
      </c>
      <c r="U2" t="s">
        <v>68</v>
      </c>
    </row>
    <row r="3" spans="1:23" x14ac:dyDescent="0.25">
      <c r="A3" t="s">
        <v>1</v>
      </c>
    </row>
    <row r="4" spans="1:23" ht="30" x14ac:dyDescent="0.25">
      <c r="A4" s="2" t="s">
        <v>15</v>
      </c>
      <c r="B4" s="2" t="s">
        <v>16</v>
      </c>
      <c r="C4" s="2" t="s">
        <v>2</v>
      </c>
      <c r="D4" s="3" t="s">
        <v>3</v>
      </c>
      <c r="E4" s="3" t="s">
        <v>4</v>
      </c>
      <c r="F4" s="3" t="s">
        <v>5</v>
      </c>
      <c r="G4" s="3" t="s">
        <v>6</v>
      </c>
      <c r="H4" s="3" t="s">
        <v>7</v>
      </c>
      <c r="I4" s="3" t="s">
        <v>8</v>
      </c>
      <c r="J4" s="3" t="s">
        <v>9</v>
      </c>
      <c r="K4" s="3" t="s">
        <v>10</v>
      </c>
      <c r="L4" s="3" t="s">
        <v>11</v>
      </c>
      <c r="M4" s="3" t="s">
        <v>12</v>
      </c>
      <c r="N4" s="3" t="s">
        <v>13</v>
      </c>
      <c r="O4" s="3" t="s">
        <v>14</v>
      </c>
      <c r="P4" s="2"/>
      <c r="Q4" s="3" t="s">
        <v>23</v>
      </c>
      <c r="T4" s="33" t="s">
        <v>66</v>
      </c>
      <c r="U4" t="s">
        <v>64</v>
      </c>
      <c r="V4" t="s">
        <v>65</v>
      </c>
      <c r="W4" t="s">
        <v>74</v>
      </c>
    </row>
    <row r="5" spans="1:23" x14ac:dyDescent="0.25">
      <c r="A5" s="1"/>
      <c r="B5" s="1" t="s">
        <v>21</v>
      </c>
      <c r="C5" s="1"/>
      <c r="D5" s="1"/>
      <c r="E5" s="1"/>
      <c r="F5" s="1"/>
      <c r="G5" s="1"/>
      <c r="H5" s="1"/>
      <c r="I5" s="1"/>
      <c r="J5" s="1"/>
      <c r="K5" s="1"/>
      <c r="L5" s="1"/>
      <c r="M5" s="1"/>
      <c r="N5" s="1"/>
      <c r="O5" s="1"/>
      <c r="P5">
        <f>SUM(C5:N5)</f>
        <v>0</v>
      </c>
      <c r="Q5" s="57" t="str">
        <f>IF(ABS(P5-O5)&lt;3," ","Sum not correct")</f>
        <v xml:space="preserve"> </v>
      </c>
      <c r="S5" t="str">
        <f>VLOOKUP(B5,'Calcs and References'!A$2:E$9,5,FALSE)</f>
        <v>ELEC</v>
      </c>
      <c r="T5">
        <f>VLOOKUP(B5,'Calcs and References'!A$2:E$9,4,FALSE)*O5</f>
        <v>0</v>
      </c>
      <c r="U5">
        <f>T5*1000/'Basic Info'!$D$18</f>
        <v>0</v>
      </c>
      <c r="V5">
        <f>U5*VLOOKUP(B5,'Calcs and References'!A$2:D$9,3,FALSE)</f>
        <v>0</v>
      </c>
      <c r="W5">
        <f>VLOOKUP(B5,'Calcs and References'!A$2:E$9,2,FALSE)*O5</f>
        <v>0</v>
      </c>
    </row>
    <row r="6" spans="1:23" x14ac:dyDescent="0.25">
      <c r="A6" s="1"/>
      <c r="B6" s="1" t="s">
        <v>22</v>
      </c>
      <c r="C6" s="1"/>
      <c r="D6" s="1"/>
      <c r="E6" s="1"/>
      <c r="F6" s="1"/>
      <c r="G6" s="1"/>
      <c r="H6" s="1"/>
      <c r="I6" s="1"/>
      <c r="J6" s="1"/>
      <c r="K6" s="1"/>
      <c r="L6" s="1"/>
      <c r="M6" s="1"/>
      <c r="N6" s="1"/>
      <c r="O6" s="1"/>
      <c r="P6">
        <f>SUM(C6:N6)</f>
        <v>0</v>
      </c>
      <c r="Q6" s="57"/>
      <c r="S6" t="str">
        <f>VLOOKUP(B6,'Calcs and References'!A$2:E$9,5,FALSE)</f>
        <v>FF</v>
      </c>
      <c r="T6">
        <f>VLOOKUP(B6,'Calcs and References'!A$2:E$9,4,FALSE)*O6</f>
        <v>0</v>
      </c>
      <c r="U6">
        <f>T6*1000/'Basic Info'!$D$18</f>
        <v>0</v>
      </c>
      <c r="V6">
        <f>U6*VLOOKUP(B6,'Calcs and References'!A$2:D$9,3,FALSE)</f>
        <v>0</v>
      </c>
      <c r="W6">
        <f>VLOOKUP(B6,'Calcs and References'!A$2:E$9,2,FALSE)*O6</f>
        <v>0</v>
      </c>
    </row>
    <row r="7" spans="1:23" x14ac:dyDescent="0.25">
      <c r="A7" s="1"/>
      <c r="B7" s="1"/>
      <c r="C7" s="1"/>
      <c r="D7" s="1"/>
      <c r="E7" s="1"/>
      <c r="F7" s="1"/>
      <c r="G7" s="1"/>
      <c r="H7" s="1"/>
      <c r="I7" s="1"/>
      <c r="J7" s="1"/>
      <c r="K7" s="1"/>
      <c r="L7" s="1"/>
      <c r="M7" s="1"/>
      <c r="N7" s="1"/>
      <c r="O7" s="1"/>
      <c r="P7">
        <f t="shared" ref="P7:P8" si="0">SUM(C7:N7)</f>
        <v>0</v>
      </c>
      <c r="Q7" s="57"/>
      <c r="S7" t="e">
        <f>VLOOKUP(B7,'Calcs and References'!A$2:E$9,5,FALSE)</f>
        <v>#N/A</v>
      </c>
      <c r="T7" t="e">
        <f>VLOOKUP(B7,'Calcs and References'!A$2:E$9,4,FALSE)*O7</f>
        <v>#N/A</v>
      </c>
      <c r="U7" t="e">
        <f>T7*1000/'Basic Info'!$D$18</f>
        <v>#N/A</v>
      </c>
      <c r="V7" t="e">
        <f>U7*VLOOKUP(B7,'Calcs and References'!A$2:D$9,3,FALSE)</f>
        <v>#N/A</v>
      </c>
      <c r="W7" t="e">
        <f>VLOOKUP(B7,'Calcs and References'!A$2:E$9,2,FALSE)*O7</f>
        <v>#N/A</v>
      </c>
    </row>
    <row r="8" spans="1:23" x14ac:dyDescent="0.25">
      <c r="A8" s="1"/>
      <c r="B8" s="1"/>
      <c r="C8" s="1"/>
      <c r="D8" s="1"/>
      <c r="E8" s="1"/>
      <c r="F8" s="1"/>
      <c r="G8" s="1"/>
      <c r="H8" s="1"/>
      <c r="I8" s="1"/>
      <c r="J8" s="1"/>
      <c r="K8" s="1"/>
      <c r="L8" s="1"/>
      <c r="M8" s="1"/>
      <c r="N8" s="1"/>
      <c r="O8" s="1"/>
      <c r="P8">
        <f t="shared" si="0"/>
        <v>0</v>
      </c>
      <c r="Q8" s="57"/>
      <c r="S8" t="e">
        <f>VLOOKUP(B8,'Calcs and References'!A$2:E$9,5,FALSE)</f>
        <v>#N/A</v>
      </c>
      <c r="T8" t="e">
        <f>VLOOKUP(B8,'Calcs and References'!A$2:E$9,4,FALSE)*O8</f>
        <v>#N/A</v>
      </c>
      <c r="U8" t="e">
        <f>T8*1000/'Basic Info'!$D$18</f>
        <v>#N/A</v>
      </c>
      <c r="V8" t="e">
        <f>U8*VLOOKUP(B8,'Calcs and References'!A$2:D$9,3,FALSE)</f>
        <v>#N/A</v>
      </c>
      <c r="W8" t="e">
        <f>VLOOKUP(B8,'Calcs and References'!A$2:E$9,2,FALSE)*O8</f>
        <v>#N/A</v>
      </c>
    </row>
    <row r="9" spans="1:23" x14ac:dyDescent="0.25">
      <c r="V9">
        <f>SUMIF(V5:V8,"&lt;&gt;#N/A")</f>
        <v>0</v>
      </c>
      <c r="W9">
        <f>SUMIF(W5:W8,"&lt;&gt;#N/A")</f>
        <v>0</v>
      </c>
    </row>
    <row r="10" spans="1:23" x14ac:dyDescent="0.25">
      <c r="T10" t="s">
        <v>70</v>
      </c>
      <c r="U10" t="s">
        <v>71</v>
      </c>
      <c r="V10" t="s">
        <v>123</v>
      </c>
    </row>
    <row r="11" spans="1:23" x14ac:dyDescent="0.25">
      <c r="A11" t="s">
        <v>25</v>
      </c>
      <c r="T11">
        <f>SUMIF(S5:S8,S2,O5:O8)</f>
        <v>0</v>
      </c>
      <c r="U11" s="34">
        <f>SUMIF(S5:S8,S2,T5:T8)</f>
        <v>0</v>
      </c>
      <c r="V11">
        <f>U11*'Calcs and References'!C2</f>
        <v>0</v>
      </c>
    </row>
    <row r="12" spans="1:23" ht="45" x14ac:dyDescent="0.25">
      <c r="A12" s="2" t="s">
        <v>26</v>
      </c>
      <c r="B12" s="2" t="s">
        <v>27</v>
      </c>
      <c r="C12" s="2" t="s">
        <v>33</v>
      </c>
      <c r="D12" s="3" t="s">
        <v>28</v>
      </c>
      <c r="E12" s="3" t="s">
        <v>29</v>
      </c>
      <c r="F12" s="3" t="s">
        <v>30</v>
      </c>
      <c r="G12" s="3" t="s">
        <v>31</v>
      </c>
      <c r="U12" t="s">
        <v>72</v>
      </c>
    </row>
    <row r="13" spans="1:23" x14ac:dyDescent="0.25">
      <c r="A13" s="1"/>
      <c r="B13" s="1"/>
      <c r="C13" s="1"/>
      <c r="D13" s="1"/>
      <c r="E13" s="1"/>
      <c r="F13" s="1"/>
      <c r="G13" s="1"/>
      <c r="H13" s="5"/>
      <c r="U13">
        <f>SUMIF(S5:S8,T2,T5:T8)</f>
        <v>0</v>
      </c>
      <c r="V13">
        <f>U13*'Calcs and References'!C3</f>
        <v>0</v>
      </c>
    </row>
    <row r="14" spans="1:23" x14ac:dyDescent="0.25">
      <c r="A14" s="1"/>
      <c r="B14" s="1"/>
      <c r="C14" s="1"/>
      <c r="D14" s="1"/>
      <c r="E14" s="1"/>
      <c r="F14" s="1"/>
      <c r="G14" s="1"/>
      <c r="H14" s="5"/>
      <c r="U14" t="s">
        <v>73</v>
      </c>
    </row>
    <row r="15" spans="1:23" x14ac:dyDescent="0.25">
      <c r="A15" s="1"/>
      <c r="B15" s="1"/>
      <c r="C15" s="1"/>
      <c r="D15" s="1"/>
      <c r="E15" s="1"/>
      <c r="F15" s="1"/>
      <c r="G15" s="1"/>
      <c r="H15" s="5"/>
      <c r="U15">
        <f>SUMIF(S5:S8,U2,T5:T8)</f>
        <v>0</v>
      </c>
      <c r="V15">
        <f>U15*'Calcs and References'!C6</f>
        <v>0</v>
      </c>
    </row>
    <row r="16" spans="1:23" x14ac:dyDescent="0.25">
      <c r="A16" s="1"/>
      <c r="B16" s="1"/>
      <c r="C16" s="1"/>
      <c r="D16" s="1"/>
      <c r="E16" s="1"/>
      <c r="F16" s="1"/>
      <c r="G16" s="1"/>
      <c r="H16" s="5"/>
    </row>
    <row r="17" spans="1:7" ht="30" x14ac:dyDescent="0.25">
      <c r="E17" s="3" t="s">
        <v>32</v>
      </c>
      <c r="F17" s="168" t="s">
        <v>23</v>
      </c>
      <c r="G17" s="168"/>
    </row>
    <row r="18" spans="1:7" x14ac:dyDescent="0.25">
      <c r="E18" s="1"/>
      <c r="F18" s="169" t="str">
        <f>IF(ABS(E13+E14+E15+E16-E18)&lt;3," ","Sum not correct")</f>
        <v xml:space="preserve"> </v>
      </c>
      <c r="G18" s="169"/>
    </row>
    <row r="20" spans="1:7" x14ac:dyDescent="0.25">
      <c r="A20" s="2" t="s">
        <v>37</v>
      </c>
    </row>
    <row r="21" spans="1:7" x14ac:dyDescent="0.25">
      <c r="A21" s="167"/>
      <c r="B21" s="167"/>
      <c r="C21" s="167"/>
      <c r="D21" s="167"/>
    </row>
  </sheetData>
  <mergeCells count="3">
    <mergeCell ref="F17:G17"/>
    <mergeCell ref="F18:G18"/>
    <mergeCell ref="A21:D2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61D9809-98E7-4BEF-AA1C-84356B2CFFBE}">
          <x14:formula1>
            <xm:f>'Calcs and References'!$A$2:$A$9</xm:f>
          </x14:formula1>
          <xm:sqref>B5:B8 B13:B16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E737B-1450-48E4-A71E-56775E4EE04A}">
  <dimension ref="A1:W21"/>
  <sheetViews>
    <sheetView workbookViewId="0">
      <selection activeCell="A3" sqref="A3:Q18"/>
    </sheetView>
  </sheetViews>
  <sheetFormatPr defaultRowHeight="15" x14ac:dyDescent="0.25"/>
  <cols>
    <col min="1" max="1" width="29.85546875" customWidth="1"/>
    <col min="2" max="2" width="18.7109375" customWidth="1"/>
    <col min="4" max="4" width="14.7109375" customWidth="1"/>
    <col min="16" max="16" width="0" hidden="1" customWidth="1"/>
    <col min="17" max="17" width="18.85546875" customWidth="1"/>
    <col min="19" max="19" width="9.140625" customWidth="1"/>
    <col min="20" max="20" width="13.42578125" customWidth="1"/>
    <col min="21" max="21" width="14.7109375" customWidth="1"/>
    <col min="22" max="22" width="11.28515625" customWidth="1"/>
    <col min="23" max="23" width="9.140625" customWidth="1"/>
  </cols>
  <sheetData>
    <row r="1" spans="1:23" x14ac:dyDescent="0.25">
      <c r="A1" t="s">
        <v>87</v>
      </c>
    </row>
    <row r="2" spans="1:23" x14ac:dyDescent="0.25">
      <c r="S2" t="s">
        <v>69</v>
      </c>
      <c r="T2" t="s">
        <v>67</v>
      </c>
      <c r="U2" t="s">
        <v>68</v>
      </c>
    </row>
    <row r="3" spans="1:23" x14ac:dyDescent="0.25">
      <c r="A3" t="s">
        <v>1</v>
      </c>
    </row>
    <row r="4" spans="1:23" ht="30" x14ac:dyDescent="0.25">
      <c r="A4" s="2" t="s">
        <v>15</v>
      </c>
      <c r="B4" s="2" t="s">
        <v>16</v>
      </c>
      <c r="C4" s="2" t="s">
        <v>2</v>
      </c>
      <c r="D4" s="3" t="s">
        <v>3</v>
      </c>
      <c r="E4" s="3" t="s">
        <v>4</v>
      </c>
      <c r="F4" s="3" t="s">
        <v>5</v>
      </c>
      <c r="G4" s="3" t="s">
        <v>6</v>
      </c>
      <c r="H4" s="3" t="s">
        <v>7</v>
      </c>
      <c r="I4" s="3" t="s">
        <v>8</v>
      </c>
      <c r="J4" s="3" t="s">
        <v>9</v>
      </c>
      <c r="K4" s="3" t="s">
        <v>10</v>
      </c>
      <c r="L4" s="3" t="s">
        <v>11</v>
      </c>
      <c r="M4" s="3" t="s">
        <v>12</v>
      </c>
      <c r="N4" s="3" t="s">
        <v>13</v>
      </c>
      <c r="O4" s="3" t="s">
        <v>14</v>
      </c>
      <c r="P4" s="2"/>
      <c r="Q4" s="3" t="s">
        <v>23</v>
      </c>
      <c r="T4" s="33" t="s">
        <v>66</v>
      </c>
      <c r="U4" t="s">
        <v>64</v>
      </c>
      <c r="V4" t="s">
        <v>65</v>
      </c>
      <c r="W4" t="s">
        <v>74</v>
      </c>
    </row>
    <row r="5" spans="1:23" x14ac:dyDescent="0.25">
      <c r="A5" s="1"/>
      <c r="B5" s="1" t="s">
        <v>21</v>
      </c>
      <c r="C5" s="1"/>
      <c r="D5" s="1"/>
      <c r="E5" s="1"/>
      <c r="F5" s="1"/>
      <c r="G5" s="1"/>
      <c r="H5" s="1"/>
      <c r="I5" s="1"/>
      <c r="J5" s="1"/>
      <c r="K5" s="1"/>
      <c r="L5" s="1"/>
      <c r="M5" s="1"/>
      <c r="N5" s="1"/>
      <c r="O5" s="1"/>
      <c r="P5">
        <f>SUM(C5:N5)</f>
        <v>0</v>
      </c>
      <c r="Q5" s="57" t="str">
        <f>IF(ABS(P5-O5)&lt;3," ","Sum not correct")</f>
        <v xml:space="preserve"> </v>
      </c>
      <c r="S5" t="str">
        <f>VLOOKUP(B5,'Calcs and References'!A$2:E$9,5,FALSE)</f>
        <v>ELEC</v>
      </c>
      <c r="T5">
        <f>VLOOKUP(B5,'Calcs and References'!A$2:E$9,4,FALSE)*O5</f>
        <v>0</v>
      </c>
      <c r="U5">
        <f>T5*1000/'Basic Info'!$D$18</f>
        <v>0</v>
      </c>
      <c r="V5">
        <f>U5*VLOOKUP(B5,'Calcs and References'!A$2:D$9,3,FALSE)</f>
        <v>0</v>
      </c>
      <c r="W5">
        <f>VLOOKUP(B5,'Calcs and References'!A$2:E$9,2,FALSE)*O5</f>
        <v>0</v>
      </c>
    </row>
    <row r="6" spans="1:23" x14ac:dyDescent="0.25">
      <c r="A6" s="1"/>
      <c r="B6" s="1" t="s">
        <v>22</v>
      </c>
      <c r="C6" s="1"/>
      <c r="D6" s="1"/>
      <c r="E6" s="1"/>
      <c r="F6" s="1"/>
      <c r="G6" s="1"/>
      <c r="H6" s="1"/>
      <c r="I6" s="1"/>
      <c r="J6" s="1"/>
      <c r="K6" s="1"/>
      <c r="L6" s="1"/>
      <c r="M6" s="1"/>
      <c r="N6" s="1"/>
      <c r="O6" s="1"/>
      <c r="P6">
        <f>SUM(C6:N6)</f>
        <v>0</v>
      </c>
      <c r="Q6" s="57"/>
      <c r="S6" t="str">
        <f>VLOOKUP(B6,'Calcs and References'!A$2:E$9,5,FALSE)</f>
        <v>FF</v>
      </c>
      <c r="T6">
        <f>VLOOKUP(B6,'Calcs and References'!A$2:E$9,4,FALSE)*O6</f>
        <v>0</v>
      </c>
      <c r="U6">
        <f>T6*1000/'Basic Info'!$D$18</f>
        <v>0</v>
      </c>
      <c r="V6">
        <f>U6*VLOOKUP(B6,'Calcs and References'!A$2:D$9,3,FALSE)</f>
        <v>0</v>
      </c>
      <c r="W6">
        <f>VLOOKUP(B6,'Calcs and References'!A$2:E$9,2,FALSE)*O6</f>
        <v>0</v>
      </c>
    </row>
    <row r="7" spans="1:23" x14ac:dyDescent="0.25">
      <c r="A7" s="1"/>
      <c r="B7" s="1"/>
      <c r="C7" s="1"/>
      <c r="D7" s="1"/>
      <c r="E7" s="1"/>
      <c r="F7" s="1"/>
      <c r="G7" s="1"/>
      <c r="H7" s="1"/>
      <c r="I7" s="1"/>
      <c r="J7" s="1"/>
      <c r="K7" s="1"/>
      <c r="L7" s="1"/>
      <c r="M7" s="1"/>
      <c r="N7" s="1"/>
      <c r="O7" s="1"/>
      <c r="P7">
        <f t="shared" ref="P7:P8" si="0">SUM(C7:N7)</f>
        <v>0</v>
      </c>
      <c r="Q7" s="57"/>
      <c r="S7" t="e">
        <f>VLOOKUP(B7,'Calcs and References'!A$2:E$9,5,FALSE)</f>
        <v>#N/A</v>
      </c>
      <c r="T7" t="e">
        <f>VLOOKUP(B7,'Calcs and References'!A$2:E$9,4,FALSE)*O7</f>
        <v>#N/A</v>
      </c>
      <c r="U7" t="e">
        <f>T7*1000/'Basic Info'!$D$18</f>
        <v>#N/A</v>
      </c>
      <c r="V7" t="e">
        <f>U7*VLOOKUP(B7,'Calcs and References'!A$2:D$9,3,FALSE)</f>
        <v>#N/A</v>
      </c>
      <c r="W7" t="e">
        <f>VLOOKUP(B7,'Calcs and References'!A$2:E$9,2,FALSE)*O7</f>
        <v>#N/A</v>
      </c>
    </row>
    <row r="8" spans="1:23" x14ac:dyDescent="0.25">
      <c r="A8" s="1"/>
      <c r="B8" s="1"/>
      <c r="C8" s="1"/>
      <c r="D8" s="1"/>
      <c r="E8" s="1"/>
      <c r="F8" s="1"/>
      <c r="G8" s="1"/>
      <c r="H8" s="1"/>
      <c r="I8" s="1"/>
      <c r="J8" s="1"/>
      <c r="K8" s="1"/>
      <c r="L8" s="1"/>
      <c r="M8" s="1"/>
      <c r="N8" s="1"/>
      <c r="O8" s="1"/>
      <c r="P8">
        <f t="shared" si="0"/>
        <v>0</v>
      </c>
      <c r="Q8" s="57"/>
      <c r="S8" t="e">
        <f>VLOOKUP(B8,'Calcs and References'!A$2:E$9,5,FALSE)</f>
        <v>#N/A</v>
      </c>
      <c r="T8" t="e">
        <f>VLOOKUP(B8,'Calcs and References'!A$2:E$9,4,FALSE)*O8</f>
        <v>#N/A</v>
      </c>
      <c r="U8" t="e">
        <f>T8*1000/'Basic Info'!$D$18</f>
        <v>#N/A</v>
      </c>
      <c r="V8" t="e">
        <f>U8*VLOOKUP(B8,'Calcs and References'!A$2:D$9,3,FALSE)</f>
        <v>#N/A</v>
      </c>
      <c r="W8" t="e">
        <f>VLOOKUP(B8,'Calcs and References'!A$2:E$9,2,FALSE)*O8</f>
        <v>#N/A</v>
      </c>
    </row>
    <row r="9" spans="1:23" x14ac:dyDescent="0.25">
      <c r="V9">
        <f>SUMIF(V5:V8,"&lt;&gt;#N/A")</f>
        <v>0</v>
      </c>
      <c r="W9">
        <f>SUMIF(W5:W8,"&lt;&gt;#N/A")</f>
        <v>0</v>
      </c>
    </row>
    <row r="10" spans="1:23" x14ac:dyDescent="0.25">
      <c r="T10" t="s">
        <v>70</v>
      </c>
      <c r="U10" t="s">
        <v>71</v>
      </c>
      <c r="V10" t="s">
        <v>123</v>
      </c>
    </row>
    <row r="11" spans="1:23" x14ac:dyDescent="0.25">
      <c r="A11" t="s">
        <v>25</v>
      </c>
      <c r="T11">
        <f>SUMIF(S5:S8,S2,O5:O8)</f>
        <v>0</v>
      </c>
      <c r="U11" s="34">
        <f>SUMIF(S5:S8,S2,T5:T8)</f>
        <v>0</v>
      </c>
      <c r="V11">
        <f>U11*'Calcs and References'!C2</f>
        <v>0</v>
      </c>
    </row>
    <row r="12" spans="1:23" ht="45" x14ac:dyDescent="0.25">
      <c r="A12" s="2" t="s">
        <v>26</v>
      </c>
      <c r="B12" s="2" t="s">
        <v>27</v>
      </c>
      <c r="C12" s="2" t="s">
        <v>33</v>
      </c>
      <c r="D12" s="3" t="s">
        <v>28</v>
      </c>
      <c r="E12" s="3" t="s">
        <v>29</v>
      </c>
      <c r="F12" s="3" t="s">
        <v>30</v>
      </c>
      <c r="G12" s="3" t="s">
        <v>31</v>
      </c>
      <c r="U12" t="s">
        <v>72</v>
      </c>
    </row>
    <row r="13" spans="1:23" x14ac:dyDescent="0.25">
      <c r="A13" s="1"/>
      <c r="B13" s="1"/>
      <c r="C13" s="1"/>
      <c r="D13" s="1"/>
      <c r="E13" s="1"/>
      <c r="F13" s="1"/>
      <c r="G13" s="1"/>
      <c r="H13" s="5"/>
      <c r="U13">
        <f>SUMIF(S5:S8,T2,T5:T8)</f>
        <v>0</v>
      </c>
      <c r="V13">
        <f>U13*'Calcs and References'!C3</f>
        <v>0</v>
      </c>
    </row>
    <row r="14" spans="1:23" x14ac:dyDescent="0.25">
      <c r="A14" s="1"/>
      <c r="B14" s="1"/>
      <c r="C14" s="1"/>
      <c r="D14" s="1"/>
      <c r="E14" s="1"/>
      <c r="F14" s="1"/>
      <c r="G14" s="1"/>
      <c r="H14" s="5"/>
      <c r="U14" t="s">
        <v>73</v>
      </c>
    </row>
    <row r="15" spans="1:23" x14ac:dyDescent="0.25">
      <c r="A15" s="1"/>
      <c r="B15" s="1"/>
      <c r="C15" s="1"/>
      <c r="D15" s="1"/>
      <c r="E15" s="1"/>
      <c r="F15" s="1"/>
      <c r="G15" s="1"/>
      <c r="H15" s="5"/>
      <c r="U15">
        <f>SUMIF(S5:S8,U2,T5:T8)</f>
        <v>0</v>
      </c>
      <c r="V15">
        <f>U15*'Calcs and References'!C6</f>
        <v>0</v>
      </c>
    </row>
    <row r="16" spans="1:23" x14ac:dyDescent="0.25">
      <c r="A16" s="1"/>
      <c r="B16" s="1"/>
      <c r="C16" s="1"/>
      <c r="D16" s="1"/>
      <c r="E16" s="1"/>
      <c r="F16" s="1"/>
      <c r="G16" s="1"/>
      <c r="H16" s="5"/>
    </row>
    <row r="17" spans="1:7" ht="30" x14ac:dyDescent="0.25">
      <c r="E17" s="3" t="s">
        <v>32</v>
      </c>
      <c r="F17" s="168" t="s">
        <v>23</v>
      </c>
      <c r="G17" s="168"/>
    </row>
    <row r="18" spans="1:7" x14ac:dyDescent="0.25">
      <c r="E18" s="1"/>
      <c r="F18" s="169" t="str">
        <f>IF(ABS(E13+E14+E15+E16-E18)&lt;3," ","Sum not correct")</f>
        <v xml:space="preserve"> </v>
      </c>
      <c r="G18" s="169"/>
    </row>
    <row r="20" spans="1:7" x14ac:dyDescent="0.25">
      <c r="A20" s="2" t="s">
        <v>37</v>
      </c>
    </row>
    <row r="21" spans="1:7" x14ac:dyDescent="0.25">
      <c r="A21" s="167"/>
      <c r="B21" s="167"/>
      <c r="C21" s="167"/>
      <c r="D21" s="167"/>
    </row>
  </sheetData>
  <mergeCells count="3">
    <mergeCell ref="F17:G17"/>
    <mergeCell ref="F18:G18"/>
    <mergeCell ref="A21:D2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0488DE8-2371-465B-9863-7E09ABCF960B}">
          <x14:formula1>
            <xm:f>'Calcs and References'!$A$2:$A$9</xm:f>
          </x14:formula1>
          <xm:sqref>B5:B8 B13:B16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EA9A9-F219-48FB-9B45-C6EAB9511D9E}">
  <dimension ref="A1:W21"/>
  <sheetViews>
    <sheetView workbookViewId="0">
      <selection activeCell="A3" sqref="A3:Q18"/>
    </sheetView>
  </sheetViews>
  <sheetFormatPr defaultRowHeight="15" x14ac:dyDescent="0.25"/>
  <cols>
    <col min="1" max="1" width="29.85546875" customWidth="1"/>
    <col min="2" max="2" width="18.7109375" customWidth="1"/>
    <col min="4" max="4" width="14.7109375" customWidth="1"/>
    <col min="16" max="16" width="0" hidden="1" customWidth="1"/>
    <col min="17" max="17" width="18.85546875" customWidth="1"/>
    <col min="19" max="19" width="9.140625" customWidth="1"/>
    <col min="20" max="20" width="13.42578125" customWidth="1"/>
    <col min="21" max="21" width="14.7109375" customWidth="1"/>
    <col min="22" max="22" width="11.28515625" customWidth="1"/>
    <col min="23" max="23" width="9.140625" customWidth="1"/>
  </cols>
  <sheetData>
    <row r="1" spans="1:23" x14ac:dyDescent="0.25">
      <c r="A1" t="s">
        <v>88</v>
      </c>
    </row>
    <row r="2" spans="1:23" x14ac:dyDescent="0.25">
      <c r="S2" t="s">
        <v>69</v>
      </c>
      <c r="T2" t="s">
        <v>67</v>
      </c>
      <c r="U2" t="s">
        <v>68</v>
      </c>
    </row>
    <row r="3" spans="1:23" x14ac:dyDescent="0.25">
      <c r="A3" t="s">
        <v>1</v>
      </c>
    </row>
    <row r="4" spans="1:23" ht="30" x14ac:dyDescent="0.25">
      <c r="A4" s="2" t="s">
        <v>15</v>
      </c>
      <c r="B4" s="2" t="s">
        <v>16</v>
      </c>
      <c r="C4" s="2" t="s">
        <v>2</v>
      </c>
      <c r="D4" s="3" t="s">
        <v>3</v>
      </c>
      <c r="E4" s="3" t="s">
        <v>4</v>
      </c>
      <c r="F4" s="3" t="s">
        <v>5</v>
      </c>
      <c r="G4" s="3" t="s">
        <v>6</v>
      </c>
      <c r="H4" s="3" t="s">
        <v>7</v>
      </c>
      <c r="I4" s="3" t="s">
        <v>8</v>
      </c>
      <c r="J4" s="3" t="s">
        <v>9</v>
      </c>
      <c r="K4" s="3" t="s">
        <v>10</v>
      </c>
      <c r="L4" s="3" t="s">
        <v>11</v>
      </c>
      <c r="M4" s="3" t="s">
        <v>12</v>
      </c>
      <c r="N4" s="3" t="s">
        <v>13</v>
      </c>
      <c r="O4" s="3" t="s">
        <v>14</v>
      </c>
      <c r="P4" s="2"/>
      <c r="Q4" s="3" t="s">
        <v>23</v>
      </c>
      <c r="T4" s="33" t="s">
        <v>66</v>
      </c>
      <c r="U4" t="s">
        <v>64</v>
      </c>
      <c r="V4" t="s">
        <v>65</v>
      </c>
      <c r="W4" t="s">
        <v>74</v>
      </c>
    </row>
    <row r="5" spans="1:23" x14ac:dyDescent="0.25">
      <c r="A5" s="1"/>
      <c r="B5" s="1" t="s">
        <v>21</v>
      </c>
      <c r="C5" s="1"/>
      <c r="D5" s="1"/>
      <c r="E5" s="1"/>
      <c r="F5" s="1"/>
      <c r="G5" s="1"/>
      <c r="H5" s="1"/>
      <c r="I5" s="1"/>
      <c r="J5" s="1"/>
      <c r="K5" s="1"/>
      <c r="L5" s="1"/>
      <c r="M5" s="1"/>
      <c r="N5" s="1"/>
      <c r="O5" s="1"/>
      <c r="P5">
        <f>SUM(C5:N5)</f>
        <v>0</v>
      </c>
      <c r="Q5" s="57" t="str">
        <f>IF(ABS(P5-O5)&lt;3," ","Sum not correct")</f>
        <v xml:space="preserve"> </v>
      </c>
      <c r="S5" t="str">
        <f>VLOOKUP(B5,'Calcs and References'!A$2:E$9,5,FALSE)</f>
        <v>ELEC</v>
      </c>
      <c r="T5">
        <f>VLOOKUP(B5,'Calcs and References'!A$2:E$9,4,FALSE)*O5</f>
        <v>0</v>
      </c>
      <c r="U5">
        <f>T5*1000/'Basic Info'!$D$18</f>
        <v>0</v>
      </c>
      <c r="V5">
        <f>U5*VLOOKUP(B5,'Calcs and References'!A$2:D$9,3,FALSE)</f>
        <v>0</v>
      </c>
      <c r="W5">
        <f>VLOOKUP(B5,'Calcs and References'!A$2:E$9,2,FALSE)*O5</f>
        <v>0</v>
      </c>
    </row>
    <row r="6" spans="1:23" x14ac:dyDescent="0.25">
      <c r="A6" s="1"/>
      <c r="B6" s="1" t="s">
        <v>22</v>
      </c>
      <c r="C6" s="1"/>
      <c r="D6" s="1"/>
      <c r="E6" s="1"/>
      <c r="F6" s="1"/>
      <c r="G6" s="1"/>
      <c r="H6" s="1"/>
      <c r="I6" s="1"/>
      <c r="J6" s="1"/>
      <c r="K6" s="1"/>
      <c r="L6" s="1"/>
      <c r="M6" s="1"/>
      <c r="N6" s="1"/>
      <c r="O6" s="1"/>
      <c r="P6">
        <f>SUM(C6:N6)</f>
        <v>0</v>
      </c>
      <c r="Q6" s="57"/>
      <c r="S6" t="str">
        <f>VLOOKUP(B6,'Calcs and References'!A$2:E$9,5,FALSE)</f>
        <v>FF</v>
      </c>
      <c r="T6">
        <f>VLOOKUP(B6,'Calcs and References'!A$2:E$9,4,FALSE)*O6</f>
        <v>0</v>
      </c>
      <c r="U6">
        <f>T6*1000/'Basic Info'!$D$18</f>
        <v>0</v>
      </c>
      <c r="V6">
        <f>U6*VLOOKUP(B6,'Calcs and References'!A$2:D$9,3,FALSE)</f>
        <v>0</v>
      </c>
      <c r="W6">
        <f>VLOOKUP(B6,'Calcs and References'!A$2:E$9,2,FALSE)*O6</f>
        <v>0</v>
      </c>
    </row>
    <row r="7" spans="1:23" x14ac:dyDescent="0.25">
      <c r="A7" s="1"/>
      <c r="B7" s="1"/>
      <c r="C7" s="1"/>
      <c r="D7" s="1"/>
      <c r="E7" s="1"/>
      <c r="F7" s="1"/>
      <c r="G7" s="1"/>
      <c r="H7" s="1"/>
      <c r="I7" s="1"/>
      <c r="J7" s="1"/>
      <c r="K7" s="1"/>
      <c r="L7" s="1"/>
      <c r="M7" s="1"/>
      <c r="N7" s="1"/>
      <c r="O7" s="1"/>
      <c r="P7">
        <f t="shared" ref="P7:P8" si="0">SUM(C7:N7)</f>
        <v>0</v>
      </c>
      <c r="Q7" s="57"/>
      <c r="S7" t="e">
        <f>VLOOKUP(B7,'Calcs and References'!A$2:E$9,5,FALSE)</f>
        <v>#N/A</v>
      </c>
      <c r="T7" t="e">
        <f>VLOOKUP(B7,'Calcs and References'!A$2:E$9,4,FALSE)*O7</f>
        <v>#N/A</v>
      </c>
      <c r="U7" t="e">
        <f>T7*1000/'Basic Info'!$D$18</f>
        <v>#N/A</v>
      </c>
      <c r="V7" t="e">
        <f>U7*VLOOKUP(B7,'Calcs and References'!A$2:D$9,3,FALSE)</f>
        <v>#N/A</v>
      </c>
      <c r="W7" t="e">
        <f>VLOOKUP(B7,'Calcs and References'!A$2:E$9,2,FALSE)*O7</f>
        <v>#N/A</v>
      </c>
    </row>
    <row r="8" spans="1:23" x14ac:dyDescent="0.25">
      <c r="A8" s="1"/>
      <c r="B8" s="1"/>
      <c r="C8" s="1"/>
      <c r="D8" s="1"/>
      <c r="E8" s="1"/>
      <c r="F8" s="1"/>
      <c r="G8" s="1"/>
      <c r="H8" s="1"/>
      <c r="I8" s="1"/>
      <c r="J8" s="1"/>
      <c r="K8" s="1"/>
      <c r="L8" s="1"/>
      <c r="M8" s="1"/>
      <c r="N8" s="1"/>
      <c r="O8" s="1"/>
      <c r="P8">
        <f t="shared" si="0"/>
        <v>0</v>
      </c>
      <c r="Q8" s="57"/>
      <c r="S8" t="e">
        <f>VLOOKUP(B8,'Calcs and References'!A$2:E$9,5,FALSE)</f>
        <v>#N/A</v>
      </c>
      <c r="T8" t="e">
        <f>VLOOKUP(B8,'Calcs and References'!A$2:E$9,4,FALSE)*O8</f>
        <v>#N/A</v>
      </c>
      <c r="U8" t="e">
        <f>T8*1000/'Basic Info'!$D$18</f>
        <v>#N/A</v>
      </c>
      <c r="V8" t="e">
        <f>U8*VLOOKUP(B8,'Calcs and References'!A$2:D$9,3,FALSE)</f>
        <v>#N/A</v>
      </c>
      <c r="W8" t="e">
        <f>VLOOKUP(B8,'Calcs and References'!A$2:E$9,2,FALSE)*O8</f>
        <v>#N/A</v>
      </c>
    </row>
    <row r="9" spans="1:23" x14ac:dyDescent="0.25">
      <c r="V9">
        <f>SUMIF(V5:V8,"&lt;&gt;#N/A")</f>
        <v>0</v>
      </c>
      <c r="W9">
        <f>SUMIF(W5:W8,"&lt;&gt;#N/A")</f>
        <v>0</v>
      </c>
    </row>
    <row r="10" spans="1:23" x14ac:dyDescent="0.25">
      <c r="T10" t="s">
        <v>70</v>
      </c>
      <c r="U10" t="s">
        <v>71</v>
      </c>
      <c r="V10" t="s">
        <v>123</v>
      </c>
    </row>
    <row r="11" spans="1:23" x14ac:dyDescent="0.25">
      <c r="A11" t="s">
        <v>25</v>
      </c>
      <c r="T11">
        <f>SUMIF(S5:S8,S2,O5:O8)</f>
        <v>0</v>
      </c>
      <c r="U11" s="34">
        <f>SUMIF(S5:S8,S2,T5:T8)</f>
        <v>0</v>
      </c>
      <c r="V11">
        <f>U11*'Calcs and References'!C2</f>
        <v>0</v>
      </c>
    </row>
    <row r="12" spans="1:23" ht="45" x14ac:dyDescent="0.25">
      <c r="A12" s="2" t="s">
        <v>26</v>
      </c>
      <c r="B12" s="2" t="s">
        <v>27</v>
      </c>
      <c r="C12" s="2" t="s">
        <v>33</v>
      </c>
      <c r="D12" s="3" t="s">
        <v>28</v>
      </c>
      <c r="E12" s="3" t="s">
        <v>29</v>
      </c>
      <c r="F12" s="3" t="s">
        <v>30</v>
      </c>
      <c r="G12" s="3" t="s">
        <v>31</v>
      </c>
      <c r="U12" t="s">
        <v>72</v>
      </c>
    </row>
    <row r="13" spans="1:23" x14ac:dyDescent="0.25">
      <c r="A13" s="1"/>
      <c r="B13" s="1"/>
      <c r="C13" s="1"/>
      <c r="D13" s="1"/>
      <c r="E13" s="1"/>
      <c r="F13" s="1"/>
      <c r="G13" s="1"/>
      <c r="H13" s="5"/>
      <c r="U13">
        <f>SUMIF(S5:S8,T2,T5:T8)</f>
        <v>0</v>
      </c>
      <c r="V13">
        <f>U13*'Calcs and References'!C3</f>
        <v>0</v>
      </c>
    </row>
    <row r="14" spans="1:23" x14ac:dyDescent="0.25">
      <c r="A14" s="1"/>
      <c r="B14" s="1"/>
      <c r="C14" s="1"/>
      <c r="D14" s="1"/>
      <c r="E14" s="1"/>
      <c r="F14" s="1"/>
      <c r="G14" s="1"/>
      <c r="H14" s="5"/>
      <c r="U14" t="s">
        <v>73</v>
      </c>
    </row>
    <row r="15" spans="1:23" x14ac:dyDescent="0.25">
      <c r="A15" s="1"/>
      <c r="B15" s="1"/>
      <c r="C15" s="1"/>
      <c r="D15" s="1"/>
      <c r="E15" s="1"/>
      <c r="F15" s="1"/>
      <c r="G15" s="1"/>
      <c r="H15" s="5"/>
      <c r="U15">
        <f>SUMIF(S5:S8,U2,T5:T8)</f>
        <v>0</v>
      </c>
      <c r="V15">
        <f>U15*'Calcs and References'!C6</f>
        <v>0</v>
      </c>
    </row>
    <row r="16" spans="1:23" x14ac:dyDescent="0.25">
      <c r="A16" s="1"/>
      <c r="B16" s="1"/>
      <c r="C16" s="1"/>
      <c r="D16" s="1"/>
      <c r="E16" s="1"/>
      <c r="F16" s="1"/>
      <c r="G16" s="1"/>
      <c r="H16" s="5"/>
    </row>
    <row r="17" spans="1:7" ht="30" x14ac:dyDescent="0.25">
      <c r="E17" s="3" t="s">
        <v>32</v>
      </c>
      <c r="F17" s="168" t="s">
        <v>23</v>
      </c>
      <c r="G17" s="168"/>
    </row>
    <row r="18" spans="1:7" x14ac:dyDescent="0.25">
      <c r="E18" s="1"/>
      <c r="F18" s="169" t="str">
        <f>IF(ABS(E13+E14+E15+E16-E18)&lt;3," ","Sum not correct")</f>
        <v xml:space="preserve"> </v>
      </c>
      <c r="G18" s="169"/>
    </row>
    <row r="20" spans="1:7" x14ac:dyDescent="0.25">
      <c r="A20" s="2" t="s">
        <v>37</v>
      </c>
    </row>
    <row r="21" spans="1:7" x14ac:dyDescent="0.25">
      <c r="A21" s="167"/>
      <c r="B21" s="167"/>
      <c r="C21" s="167"/>
      <c r="D21" s="167"/>
    </row>
  </sheetData>
  <mergeCells count="3">
    <mergeCell ref="F17:G17"/>
    <mergeCell ref="F18:G18"/>
    <mergeCell ref="A21:D2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39B31C5-3610-41A6-BAC3-438D197BEE83}">
          <x14:formula1>
            <xm:f>'Calcs and References'!$A$2:$A$9</xm:f>
          </x14:formula1>
          <xm:sqref>B5:B8 B13:B16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786D6-0D5E-4E41-8A1C-1E22BCE1C0C3}">
  <dimension ref="A1:W21"/>
  <sheetViews>
    <sheetView workbookViewId="0">
      <selection activeCell="A3" sqref="A3:Q18"/>
    </sheetView>
  </sheetViews>
  <sheetFormatPr defaultRowHeight="15" x14ac:dyDescent="0.25"/>
  <cols>
    <col min="1" max="1" width="29.85546875" customWidth="1"/>
    <col min="2" max="2" width="18.7109375" customWidth="1"/>
    <col min="4" max="4" width="14.7109375" customWidth="1"/>
    <col min="16" max="16" width="0" hidden="1" customWidth="1"/>
    <col min="17" max="17" width="18.85546875" customWidth="1"/>
    <col min="19" max="19" width="9.140625" customWidth="1"/>
    <col min="20" max="20" width="13.42578125" customWidth="1"/>
    <col min="21" max="21" width="14.7109375" customWidth="1"/>
    <col min="22" max="22" width="11.28515625" customWidth="1"/>
    <col min="23" max="23" width="9.140625" customWidth="1"/>
  </cols>
  <sheetData>
    <row r="1" spans="1:23" x14ac:dyDescent="0.25">
      <c r="A1" t="s">
        <v>89</v>
      </c>
    </row>
    <row r="2" spans="1:23" x14ac:dyDescent="0.25">
      <c r="S2" t="s">
        <v>69</v>
      </c>
      <c r="T2" t="s">
        <v>67</v>
      </c>
      <c r="U2" t="s">
        <v>68</v>
      </c>
    </row>
    <row r="3" spans="1:23" x14ac:dyDescent="0.25">
      <c r="A3" t="s">
        <v>1</v>
      </c>
    </row>
    <row r="4" spans="1:23" ht="30" x14ac:dyDescent="0.25">
      <c r="A4" s="2" t="s">
        <v>15</v>
      </c>
      <c r="B4" s="2" t="s">
        <v>16</v>
      </c>
      <c r="C4" s="2" t="s">
        <v>2</v>
      </c>
      <c r="D4" s="3" t="s">
        <v>3</v>
      </c>
      <c r="E4" s="3" t="s">
        <v>4</v>
      </c>
      <c r="F4" s="3" t="s">
        <v>5</v>
      </c>
      <c r="G4" s="3" t="s">
        <v>6</v>
      </c>
      <c r="H4" s="3" t="s">
        <v>7</v>
      </c>
      <c r="I4" s="3" t="s">
        <v>8</v>
      </c>
      <c r="J4" s="3" t="s">
        <v>9</v>
      </c>
      <c r="K4" s="3" t="s">
        <v>10</v>
      </c>
      <c r="L4" s="3" t="s">
        <v>11</v>
      </c>
      <c r="M4" s="3" t="s">
        <v>12</v>
      </c>
      <c r="N4" s="3" t="s">
        <v>13</v>
      </c>
      <c r="O4" s="3" t="s">
        <v>14</v>
      </c>
      <c r="P4" s="2"/>
      <c r="Q4" s="3" t="s">
        <v>23</v>
      </c>
      <c r="T4" s="33" t="s">
        <v>66</v>
      </c>
      <c r="U4" t="s">
        <v>64</v>
      </c>
      <c r="V4" t="s">
        <v>65</v>
      </c>
      <c r="W4" t="s">
        <v>74</v>
      </c>
    </row>
    <row r="5" spans="1:23" x14ac:dyDescent="0.25">
      <c r="A5" s="1"/>
      <c r="B5" s="1" t="s">
        <v>21</v>
      </c>
      <c r="C5" s="1"/>
      <c r="D5" s="1"/>
      <c r="E5" s="1"/>
      <c r="F5" s="1"/>
      <c r="G5" s="1"/>
      <c r="H5" s="1"/>
      <c r="I5" s="1"/>
      <c r="J5" s="1"/>
      <c r="K5" s="1"/>
      <c r="L5" s="1"/>
      <c r="M5" s="1"/>
      <c r="N5" s="1"/>
      <c r="O5" s="1"/>
      <c r="P5">
        <f>SUM(C5:N5)</f>
        <v>0</v>
      </c>
      <c r="Q5" s="57" t="str">
        <f>IF(ABS(P5-O5)&lt;3," ","Sum not correct")</f>
        <v xml:space="preserve"> </v>
      </c>
      <c r="S5" t="str">
        <f>VLOOKUP(B5,'Calcs and References'!A$2:E$9,5,FALSE)</f>
        <v>ELEC</v>
      </c>
      <c r="T5">
        <f>VLOOKUP(B5,'Calcs and References'!A$2:E$9,4,FALSE)*O5</f>
        <v>0</v>
      </c>
      <c r="U5">
        <f>T5*1000/'Basic Info'!$D$18</f>
        <v>0</v>
      </c>
      <c r="V5">
        <f>U5*VLOOKUP(B5,'Calcs and References'!A$2:D$9,3,FALSE)</f>
        <v>0</v>
      </c>
      <c r="W5">
        <f>VLOOKUP(B5,'Calcs and References'!A$2:E$9,2,FALSE)*O5</f>
        <v>0</v>
      </c>
    </row>
    <row r="6" spans="1:23" x14ac:dyDescent="0.25">
      <c r="A6" s="1"/>
      <c r="B6" s="1" t="s">
        <v>22</v>
      </c>
      <c r="C6" s="1"/>
      <c r="D6" s="1"/>
      <c r="E6" s="1"/>
      <c r="F6" s="1"/>
      <c r="G6" s="1"/>
      <c r="H6" s="1"/>
      <c r="I6" s="1"/>
      <c r="J6" s="1"/>
      <c r="K6" s="1"/>
      <c r="L6" s="1"/>
      <c r="M6" s="1"/>
      <c r="N6" s="1"/>
      <c r="O6" s="1"/>
      <c r="P6">
        <f>SUM(C6:N6)</f>
        <v>0</v>
      </c>
      <c r="Q6" s="57"/>
      <c r="S6" t="str">
        <f>VLOOKUP(B6,'Calcs and References'!A$2:E$9,5,FALSE)</f>
        <v>FF</v>
      </c>
      <c r="T6">
        <f>VLOOKUP(B6,'Calcs and References'!A$2:E$9,4,FALSE)*O6</f>
        <v>0</v>
      </c>
      <c r="U6">
        <f>T6*1000/'Basic Info'!$D$18</f>
        <v>0</v>
      </c>
      <c r="V6">
        <f>U6*VLOOKUP(B6,'Calcs and References'!A$2:D$9,3,FALSE)</f>
        <v>0</v>
      </c>
      <c r="W6">
        <f>VLOOKUP(B6,'Calcs and References'!A$2:E$9,2,FALSE)*O6</f>
        <v>0</v>
      </c>
    </row>
    <row r="7" spans="1:23" x14ac:dyDescent="0.25">
      <c r="A7" s="1"/>
      <c r="B7" s="1"/>
      <c r="C7" s="1"/>
      <c r="D7" s="1"/>
      <c r="E7" s="1"/>
      <c r="F7" s="1"/>
      <c r="G7" s="1"/>
      <c r="H7" s="1"/>
      <c r="I7" s="1"/>
      <c r="J7" s="1"/>
      <c r="K7" s="1"/>
      <c r="L7" s="1"/>
      <c r="M7" s="1"/>
      <c r="N7" s="1"/>
      <c r="O7" s="1"/>
      <c r="P7">
        <f t="shared" ref="P7:P8" si="0">SUM(C7:N7)</f>
        <v>0</v>
      </c>
      <c r="Q7" s="57"/>
      <c r="S7" t="e">
        <f>VLOOKUP(B7,'Calcs and References'!A$2:E$9,5,FALSE)</f>
        <v>#N/A</v>
      </c>
      <c r="T7" t="e">
        <f>VLOOKUP(B7,'Calcs and References'!A$2:E$9,4,FALSE)*O7</f>
        <v>#N/A</v>
      </c>
      <c r="U7" t="e">
        <f>T7*1000/'Basic Info'!$D$18</f>
        <v>#N/A</v>
      </c>
      <c r="V7" t="e">
        <f>U7*VLOOKUP(B7,'Calcs and References'!A$2:D$9,3,FALSE)</f>
        <v>#N/A</v>
      </c>
      <c r="W7" t="e">
        <f>VLOOKUP(B7,'Calcs and References'!A$2:E$9,2,FALSE)*O7</f>
        <v>#N/A</v>
      </c>
    </row>
    <row r="8" spans="1:23" x14ac:dyDescent="0.25">
      <c r="A8" s="1"/>
      <c r="B8" s="1"/>
      <c r="C8" s="1"/>
      <c r="D8" s="1"/>
      <c r="E8" s="1"/>
      <c r="F8" s="1"/>
      <c r="G8" s="1"/>
      <c r="H8" s="1"/>
      <c r="I8" s="1"/>
      <c r="J8" s="1"/>
      <c r="K8" s="1"/>
      <c r="L8" s="1"/>
      <c r="M8" s="1"/>
      <c r="N8" s="1"/>
      <c r="O8" s="1"/>
      <c r="P8">
        <f t="shared" si="0"/>
        <v>0</v>
      </c>
      <c r="Q8" s="57"/>
      <c r="S8" t="e">
        <f>VLOOKUP(B8,'Calcs and References'!A$2:E$9,5,FALSE)</f>
        <v>#N/A</v>
      </c>
      <c r="T8" t="e">
        <f>VLOOKUP(B8,'Calcs and References'!A$2:E$9,4,FALSE)*O8</f>
        <v>#N/A</v>
      </c>
      <c r="U8" t="e">
        <f>T8*1000/'Basic Info'!$D$18</f>
        <v>#N/A</v>
      </c>
      <c r="V8" t="e">
        <f>U8*VLOOKUP(B8,'Calcs and References'!A$2:D$9,3,FALSE)</f>
        <v>#N/A</v>
      </c>
      <c r="W8" t="e">
        <f>VLOOKUP(B8,'Calcs and References'!A$2:E$9,2,FALSE)*O8</f>
        <v>#N/A</v>
      </c>
    </row>
    <row r="9" spans="1:23" x14ac:dyDescent="0.25">
      <c r="V9">
        <f>SUMIF(V5:V8,"&lt;&gt;#N/A")</f>
        <v>0</v>
      </c>
      <c r="W9">
        <f>SUMIF(W5:W8,"&lt;&gt;#N/A")</f>
        <v>0</v>
      </c>
    </row>
    <row r="10" spans="1:23" x14ac:dyDescent="0.25">
      <c r="T10" t="s">
        <v>70</v>
      </c>
      <c r="U10" t="s">
        <v>71</v>
      </c>
      <c r="V10" t="s">
        <v>123</v>
      </c>
    </row>
    <row r="11" spans="1:23" x14ac:dyDescent="0.25">
      <c r="A11" t="s">
        <v>25</v>
      </c>
      <c r="T11">
        <f>SUMIF(S5:S8,S2,O5:O8)</f>
        <v>0</v>
      </c>
      <c r="U11" s="34">
        <f>SUMIF(S5:S8,S2,T5:T8)</f>
        <v>0</v>
      </c>
      <c r="V11">
        <f>U11*'Calcs and References'!C2</f>
        <v>0</v>
      </c>
    </row>
    <row r="12" spans="1:23" ht="45" x14ac:dyDescent="0.25">
      <c r="A12" s="2" t="s">
        <v>26</v>
      </c>
      <c r="B12" s="2" t="s">
        <v>27</v>
      </c>
      <c r="C12" s="2" t="s">
        <v>33</v>
      </c>
      <c r="D12" s="3" t="s">
        <v>28</v>
      </c>
      <c r="E12" s="3" t="s">
        <v>29</v>
      </c>
      <c r="F12" s="3" t="s">
        <v>30</v>
      </c>
      <c r="G12" s="3" t="s">
        <v>31</v>
      </c>
      <c r="U12" t="s">
        <v>72</v>
      </c>
    </row>
    <row r="13" spans="1:23" x14ac:dyDescent="0.25">
      <c r="A13" s="1"/>
      <c r="B13" s="1"/>
      <c r="C13" s="1"/>
      <c r="D13" s="1"/>
      <c r="E13" s="1"/>
      <c r="F13" s="1"/>
      <c r="G13" s="1"/>
      <c r="H13" s="5"/>
      <c r="U13">
        <f>SUMIF(S5:S8,T2,T5:T8)</f>
        <v>0</v>
      </c>
      <c r="V13">
        <f>U13*'Calcs and References'!C3</f>
        <v>0</v>
      </c>
    </row>
    <row r="14" spans="1:23" x14ac:dyDescent="0.25">
      <c r="A14" s="1"/>
      <c r="B14" s="1"/>
      <c r="C14" s="1"/>
      <c r="D14" s="1"/>
      <c r="E14" s="1"/>
      <c r="F14" s="1"/>
      <c r="G14" s="1"/>
      <c r="H14" s="5"/>
      <c r="U14" t="s">
        <v>73</v>
      </c>
    </row>
    <row r="15" spans="1:23" x14ac:dyDescent="0.25">
      <c r="A15" s="1"/>
      <c r="B15" s="1"/>
      <c r="C15" s="1"/>
      <c r="D15" s="1"/>
      <c r="E15" s="1"/>
      <c r="F15" s="1"/>
      <c r="G15" s="1"/>
      <c r="H15" s="5"/>
      <c r="U15">
        <f>SUMIF(S5:S8,U2,T5:T8)</f>
        <v>0</v>
      </c>
      <c r="V15">
        <f>U15*'Calcs and References'!C6</f>
        <v>0</v>
      </c>
    </row>
    <row r="16" spans="1:23" x14ac:dyDescent="0.25">
      <c r="A16" s="1"/>
      <c r="B16" s="1"/>
      <c r="C16" s="1"/>
      <c r="D16" s="1"/>
      <c r="E16" s="1"/>
      <c r="F16" s="1"/>
      <c r="G16" s="1"/>
      <c r="H16" s="5"/>
    </row>
    <row r="17" spans="1:7" ht="30" x14ac:dyDescent="0.25">
      <c r="E17" s="3" t="s">
        <v>32</v>
      </c>
      <c r="F17" s="168" t="s">
        <v>23</v>
      </c>
      <c r="G17" s="168"/>
    </row>
    <row r="18" spans="1:7" x14ac:dyDescent="0.25">
      <c r="E18" s="1"/>
      <c r="F18" s="169" t="str">
        <f>IF(ABS(E13+E14+E15+E16-E18)&lt;3," ","Sum not correct")</f>
        <v xml:space="preserve"> </v>
      </c>
      <c r="G18" s="169"/>
    </row>
    <row r="20" spans="1:7" x14ac:dyDescent="0.25">
      <c r="A20" s="2" t="s">
        <v>37</v>
      </c>
    </row>
    <row r="21" spans="1:7" x14ac:dyDescent="0.25">
      <c r="A21" s="167"/>
      <c r="B21" s="167"/>
      <c r="C21" s="167"/>
      <c r="D21" s="167"/>
    </row>
  </sheetData>
  <mergeCells count="3">
    <mergeCell ref="F17:G17"/>
    <mergeCell ref="F18:G18"/>
    <mergeCell ref="A21:D2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DA8DFE-D45A-46A0-B90A-0D9498339EF2}">
          <x14:formula1>
            <xm:f>'Calcs and References'!$A$2:$A$9</xm:f>
          </x14:formula1>
          <xm:sqref>B5:B8 B13:B16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B4B08-FEBA-4D1F-89A7-C29FC2110421}">
  <dimension ref="A1:W21"/>
  <sheetViews>
    <sheetView workbookViewId="0">
      <selection activeCell="K27" sqref="K27"/>
    </sheetView>
  </sheetViews>
  <sheetFormatPr defaultRowHeight="15" x14ac:dyDescent="0.25"/>
  <cols>
    <col min="1" max="1" width="29.85546875" customWidth="1"/>
    <col min="2" max="2" width="18.7109375" customWidth="1"/>
    <col min="4" max="4" width="14.7109375" customWidth="1"/>
    <col min="16" max="16" width="0" hidden="1" customWidth="1"/>
    <col min="17" max="17" width="18.85546875" customWidth="1"/>
    <col min="19" max="19" width="9.140625" customWidth="1"/>
    <col min="20" max="20" width="13.42578125" customWidth="1"/>
    <col min="21" max="21" width="14.7109375" customWidth="1"/>
    <col min="22" max="22" width="11.28515625" customWidth="1"/>
    <col min="23" max="23" width="9.140625" customWidth="1"/>
  </cols>
  <sheetData>
    <row r="1" spans="1:23" x14ac:dyDescent="0.25">
      <c r="A1" t="s">
        <v>90</v>
      </c>
    </row>
    <row r="2" spans="1:23" x14ac:dyDescent="0.25">
      <c r="S2" t="s">
        <v>69</v>
      </c>
      <c r="T2" t="s">
        <v>67</v>
      </c>
      <c r="U2" t="s">
        <v>68</v>
      </c>
    </row>
    <row r="3" spans="1:23" x14ac:dyDescent="0.25">
      <c r="A3" t="s">
        <v>1</v>
      </c>
    </row>
    <row r="4" spans="1:23" ht="30" x14ac:dyDescent="0.25">
      <c r="A4" s="2" t="s">
        <v>15</v>
      </c>
      <c r="B4" s="2" t="s">
        <v>16</v>
      </c>
      <c r="C4" s="2" t="s">
        <v>2</v>
      </c>
      <c r="D4" s="3" t="s">
        <v>3</v>
      </c>
      <c r="E4" s="3" t="s">
        <v>4</v>
      </c>
      <c r="F4" s="3" t="s">
        <v>5</v>
      </c>
      <c r="G4" s="3" t="s">
        <v>6</v>
      </c>
      <c r="H4" s="3" t="s">
        <v>7</v>
      </c>
      <c r="I4" s="3" t="s">
        <v>8</v>
      </c>
      <c r="J4" s="3" t="s">
        <v>9</v>
      </c>
      <c r="K4" s="3" t="s">
        <v>10</v>
      </c>
      <c r="L4" s="3" t="s">
        <v>11</v>
      </c>
      <c r="M4" s="3" t="s">
        <v>12</v>
      </c>
      <c r="N4" s="3" t="s">
        <v>13</v>
      </c>
      <c r="O4" s="3" t="s">
        <v>14</v>
      </c>
      <c r="P4" s="2"/>
      <c r="Q4" s="3" t="s">
        <v>23</v>
      </c>
      <c r="T4" s="33" t="s">
        <v>66</v>
      </c>
      <c r="U4" t="s">
        <v>64</v>
      </c>
      <c r="V4" t="s">
        <v>65</v>
      </c>
      <c r="W4" t="s">
        <v>74</v>
      </c>
    </row>
    <row r="5" spans="1:23" x14ac:dyDescent="0.25">
      <c r="A5" s="1"/>
      <c r="B5" s="1" t="s">
        <v>21</v>
      </c>
      <c r="C5" s="1"/>
      <c r="D5" s="1"/>
      <c r="E5" s="1"/>
      <c r="F5" s="1"/>
      <c r="G5" s="1"/>
      <c r="H5" s="1"/>
      <c r="I5" s="1"/>
      <c r="J5" s="1"/>
      <c r="K5" s="1"/>
      <c r="L5" s="1"/>
      <c r="M5" s="1"/>
      <c r="N5" s="1"/>
      <c r="O5" s="1"/>
      <c r="P5">
        <f>SUM(C5:N5)</f>
        <v>0</v>
      </c>
      <c r="Q5" s="57" t="str">
        <f>IF(ABS(P5-O5)&lt;3," ","Sum not correct")</f>
        <v xml:space="preserve"> </v>
      </c>
      <c r="S5" t="str">
        <f>VLOOKUP(B5,'Calcs and References'!A$2:E$9,5,FALSE)</f>
        <v>ELEC</v>
      </c>
      <c r="T5">
        <f>VLOOKUP(B5,'Calcs and References'!A$2:E$9,4,FALSE)*O5</f>
        <v>0</v>
      </c>
      <c r="U5">
        <f>T5*1000/'Basic Info'!$D$18</f>
        <v>0</v>
      </c>
      <c r="V5">
        <f>U5*VLOOKUP(B5,'Calcs and References'!A$2:D$9,3,FALSE)</f>
        <v>0</v>
      </c>
      <c r="W5">
        <f>VLOOKUP(B5,'Calcs and References'!A$2:E$9,2,FALSE)*O5</f>
        <v>0</v>
      </c>
    </row>
    <row r="6" spans="1:23" x14ac:dyDescent="0.25">
      <c r="A6" s="1"/>
      <c r="B6" s="1" t="s">
        <v>22</v>
      </c>
      <c r="C6" s="1"/>
      <c r="D6" s="1"/>
      <c r="E6" s="1"/>
      <c r="F6" s="1"/>
      <c r="G6" s="1"/>
      <c r="H6" s="1"/>
      <c r="I6" s="1"/>
      <c r="J6" s="1"/>
      <c r="K6" s="1"/>
      <c r="L6" s="1"/>
      <c r="M6" s="1"/>
      <c r="N6" s="1"/>
      <c r="O6" s="1"/>
      <c r="P6">
        <f>SUM(C6:N6)</f>
        <v>0</v>
      </c>
      <c r="Q6" s="57"/>
      <c r="S6" t="str">
        <f>VLOOKUP(B6,'Calcs and References'!A$2:E$9,5,FALSE)</f>
        <v>FF</v>
      </c>
      <c r="T6">
        <f>VLOOKUP(B6,'Calcs and References'!A$2:E$9,4,FALSE)*O6</f>
        <v>0</v>
      </c>
      <c r="U6">
        <f>T6*1000/'Basic Info'!$D$18</f>
        <v>0</v>
      </c>
      <c r="V6">
        <f>U6*VLOOKUP(B6,'Calcs and References'!A$2:D$9,3,FALSE)</f>
        <v>0</v>
      </c>
      <c r="W6">
        <f>VLOOKUP(B6,'Calcs and References'!A$2:E$9,2,FALSE)*O6</f>
        <v>0</v>
      </c>
    </row>
    <row r="7" spans="1:23" x14ac:dyDescent="0.25">
      <c r="A7" s="1"/>
      <c r="B7" s="1"/>
      <c r="C7" s="1"/>
      <c r="D7" s="1"/>
      <c r="E7" s="1"/>
      <c r="F7" s="1"/>
      <c r="G7" s="1"/>
      <c r="H7" s="1"/>
      <c r="I7" s="1"/>
      <c r="J7" s="1"/>
      <c r="K7" s="1"/>
      <c r="L7" s="1"/>
      <c r="M7" s="1"/>
      <c r="N7" s="1"/>
      <c r="O7" s="1"/>
      <c r="P7">
        <f t="shared" ref="P7:P8" si="0">SUM(C7:N7)</f>
        <v>0</v>
      </c>
      <c r="Q7" s="57"/>
      <c r="S7" t="e">
        <f>VLOOKUP(B7,'Calcs and References'!A$2:E$9,5,FALSE)</f>
        <v>#N/A</v>
      </c>
      <c r="T7" t="e">
        <f>VLOOKUP(B7,'Calcs and References'!A$2:E$9,4,FALSE)*O7</f>
        <v>#N/A</v>
      </c>
      <c r="U7" t="e">
        <f>T7*1000/'Basic Info'!$D$18</f>
        <v>#N/A</v>
      </c>
      <c r="V7" t="e">
        <f>U7*VLOOKUP(B7,'Calcs and References'!A$2:D$9,3,FALSE)</f>
        <v>#N/A</v>
      </c>
      <c r="W7" t="e">
        <f>VLOOKUP(B7,'Calcs and References'!A$2:E$9,2,FALSE)*O7</f>
        <v>#N/A</v>
      </c>
    </row>
    <row r="8" spans="1:23" x14ac:dyDescent="0.25">
      <c r="A8" s="1"/>
      <c r="B8" s="1"/>
      <c r="C8" s="1"/>
      <c r="D8" s="1"/>
      <c r="E8" s="1"/>
      <c r="F8" s="1"/>
      <c r="G8" s="1"/>
      <c r="H8" s="1"/>
      <c r="I8" s="1"/>
      <c r="J8" s="1"/>
      <c r="K8" s="1"/>
      <c r="L8" s="1"/>
      <c r="M8" s="1"/>
      <c r="N8" s="1"/>
      <c r="O8" s="1"/>
      <c r="P8">
        <f t="shared" si="0"/>
        <v>0</v>
      </c>
      <c r="Q8" s="57"/>
      <c r="S8" t="e">
        <f>VLOOKUP(B8,'Calcs and References'!A$2:E$9,5,FALSE)</f>
        <v>#N/A</v>
      </c>
      <c r="T8" t="e">
        <f>VLOOKUP(B8,'Calcs and References'!A$2:E$9,4,FALSE)*O8</f>
        <v>#N/A</v>
      </c>
      <c r="U8" t="e">
        <f>T8*1000/'Basic Info'!$D$18</f>
        <v>#N/A</v>
      </c>
      <c r="V8" t="e">
        <f>U8*VLOOKUP(B8,'Calcs and References'!A$2:D$9,3,FALSE)</f>
        <v>#N/A</v>
      </c>
      <c r="W8" t="e">
        <f>VLOOKUP(B8,'Calcs and References'!A$2:E$9,2,FALSE)*O8</f>
        <v>#N/A</v>
      </c>
    </row>
    <row r="9" spans="1:23" x14ac:dyDescent="0.25">
      <c r="V9">
        <f>SUMIF(V5:V8,"&lt;&gt;#N/A")</f>
        <v>0</v>
      </c>
      <c r="W9">
        <f>SUMIF(W5:W8,"&lt;&gt;#N/A")</f>
        <v>0</v>
      </c>
    </row>
    <row r="10" spans="1:23" x14ac:dyDescent="0.25">
      <c r="T10" t="s">
        <v>70</v>
      </c>
      <c r="U10" t="s">
        <v>71</v>
      </c>
      <c r="V10" t="s">
        <v>123</v>
      </c>
    </row>
    <row r="11" spans="1:23" x14ac:dyDescent="0.25">
      <c r="A11" t="s">
        <v>25</v>
      </c>
      <c r="T11">
        <f>SUMIF(S5:S8,S2,O5:O8)</f>
        <v>0</v>
      </c>
      <c r="U11" s="34">
        <f>SUMIF(S5:S8,S2,T5:T8)</f>
        <v>0</v>
      </c>
      <c r="V11">
        <f>U11*'Calcs and References'!C2</f>
        <v>0</v>
      </c>
    </row>
    <row r="12" spans="1:23" ht="45" x14ac:dyDescent="0.25">
      <c r="A12" s="2" t="s">
        <v>26</v>
      </c>
      <c r="B12" s="2" t="s">
        <v>27</v>
      </c>
      <c r="C12" s="2" t="s">
        <v>33</v>
      </c>
      <c r="D12" s="3" t="s">
        <v>28</v>
      </c>
      <c r="E12" s="3" t="s">
        <v>29</v>
      </c>
      <c r="F12" s="3" t="s">
        <v>30</v>
      </c>
      <c r="G12" s="3" t="s">
        <v>31</v>
      </c>
      <c r="U12" t="s">
        <v>72</v>
      </c>
    </row>
    <row r="13" spans="1:23" x14ac:dyDescent="0.25">
      <c r="A13" s="1"/>
      <c r="B13" s="1"/>
      <c r="C13" s="1"/>
      <c r="D13" s="1"/>
      <c r="E13" s="1"/>
      <c r="F13" s="1"/>
      <c r="G13" s="1"/>
      <c r="H13" s="5"/>
      <c r="U13">
        <f>SUMIF(S5:S8,T2,T5:T8)</f>
        <v>0</v>
      </c>
      <c r="V13">
        <f>U13*'Calcs and References'!C3</f>
        <v>0</v>
      </c>
    </row>
    <row r="14" spans="1:23" x14ac:dyDescent="0.25">
      <c r="A14" s="1"/>
      <c r="B14" s="1"/>
      <c r="C14" s="1"/>
      <c r="D14" s="1"/>
      <c r="E14" s="1"/>
      <c r="F14" s="1"/>
      <c r="G14" s="1"/>
      <c r="H14" s="5"/>
      <c r="U14" t="s">
        <v>73</v>
      </c>
    </row>
    <row r="15" spans="1:23" x14ac:dyDescent="0.25">
      <c r="A15" s="1"/>
      <c r="B15" s="1"/>
      <c r="C15" s="1"/>
      <c r="D15" s="1"/>
      <c r="E15" s="1"/>
      <c r="F15" s="1"/>
      <c r="G15" s="1"/>
      <c r="H15" s="5"/>
      <c r="U15">
        <f>SUMIF(S5:S8,U2,T5:T8)</f>
        <v>0</v>
      </c>
      <c r="V15">
        <f>U15*'Calcs and References'!C6</f>
        <v>0</v>
      </c>
    </row>
    <row r="16" spans="1:23" x14ac:dyDescent="0.25">
      <c r="A16" s="1"/>
      <c r="B16" s="1"/>
      <c r="C16" s="1"/>
      <c r="D16" s="1"/>
      <c r="E16" s="1"/>
      <c r="F16" s="1"/>
      <c r="G16" s="1"/>
      <c r="H16" s="5"/>
    </row>
    <row r="17" spans="1:7" ht="30" x14ac:dyDescent="0.25">
      <c r="E17" s="3" t="s">
        <v>32</v>
      </c>
      <c r="F17" s="168" t="s">
        <v>23</v>
      </c>
      <c r="G17" s="168"/>
    </row>
    <row r="18" spans="1:7" x14ac:dyDescent="0.25">
      <c r="E18" s="1"/>
      <c r="F18" s="169" t="str">
        <f>IF(ABS(E13+E14+E15+E16-E18)&lt;3," ","Sum not correct")</f>
        <v xml:space="preserve"> </v>
      </c>
      <c r="G18" s="169"/>
    </row>
    <row r="20" spans="1:7" x14ac:dyDescent="0.25">
      <c r="A20" s="2" t="s">
        <v>37</v>
      </c>
    </row>
    <row r="21" spans="1:7" x14ac:dyDescent="0.25">
      <c r="A21" s="167"/>
      <c r="B21" s="167"/>
      <c r="C21" s="167"/>
      <c r="D21" s="167"/>
    </row>
  </sheetData>
  <mergeCells count="3">
    <mergeCell ref="F17:G17"/>
    <mergeCell ref="F18:G18"/>
    <mergeCell ref="A21:D2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B5076B6-5BBA-40C2-A208-C44E6D1CDD15}">
          <x14:formula1>
            <xm:f>'Calcs and References'!$A$2:$A$9</xm:f>
          </x14:formula1>
          <xm:sqref>B5:B8 B13:B16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F6AEF-5463-430C-A029-3542FE444017}">
  <dimension ref="A1:W21"/>
  <sheetViews>
    <sheetView workbookViewId="0">
      <selection activeCell="B4" sqref="B4:B16"/>
    </sheetView>
  </sheetViews>
  <sheetFormatPr defaultRowHeight="15" x14ac:dyDescent="0.25"/>
  <cols>
    <col min="1" max="1" width="29.85546875" customWidth="1"/>
    <col min="2" max="2" width="18.7109375" customWidth="1"/>
    <col min="4" max="4" width="14.7109375" customWidth="1"/>
    <col min="16" max="16" width="0" hidden="1" customWidth="1"/>
    <col min="17" max="17" width="18.85546875" customWidth="1"/>
    <col min="19" max="19" width="9.140625" customWidth="1"/>
    <col min="20" max="20" width="13.42578125" customWidth="1"/>
    <col min="21" max="21" width="14.7109375" customWidth="1"/>
    <col min="22" max="22" width="11.28515625" customWidth="1"/>
    <col min="23" max="23" width="9.140625" customWidth="1"/>
  </cols>
  <sheetData>
    <row r="1" spans="1:23" x14ac:dyDescent="0.25">
      <c r="A1" t="s">
        <v>91</v>
      </c>
    </row>
    <row r="2" spans="1:23" x14ac:dyDescent="0.25">
      <c r="S2" t="s">
        <v>69</v>
      </c>
      <c r="T2" t="s">
        <v>67</v>
      </c>
      <c r="U2" t="s">
        <v>68</v>
      </c>
    </row>
    <row r="3" spans="1:23" x14ac:dyDescent="0.25">
      <c r="A3" t="s">
        <v>1</v>
      </c>
    </row>
    <row r="4" spans="1:23" ht="30" x14ac:dyDescent="0.25">
      <c r="A4" s="2" t="s">
        <v>15</v>
      </c>
      <c r="B4" s="2" t="s">
        <v>16</v>
      </c>
      <c r="C4" s="2" t="s">
        <v>2</v>
      </c>
      <c r="D4" s="3" t="s">
        <v>3</v>
      </c>
      <c r="E4" s="3" t="s">
        <v>4</v>
      </c>
      <c r="F4" s="3" t="s">
        <v>5</v>
      </c>
      <c r="G4" s="3" t="s">
        <v>6</v>
      </c>
      <c r="H4" s="3" t="s">
        <v>7</v>
      </c>
      <c r="I4" s="3" t="s">
        <v>8</v>
      </c>
      <c r="J4" s="3" t="s">
        <v>9</v>
      </c>
      <c r="K4" s="3" t="s">
        <v>10</v>
      </c>
      <c r="L4" s="3" t="s">
        <v>11</v>
      </c>
      <c r="M4" s="3" t="s">
        <v>12</v>
      </c>
      <c r="N4" s="3" t="s">
        <v>13</v>
      </c>
      <c r="O4" s="3" t="s">
        <v>14</v>
      </c>
      <c r="P4" s="2"/>
      <c r="Q4" s="3" t="s">
        <v>23</v>
      </c>
      <c r="T4" s="33" t="s">
        <v>66</v>
      </c>
      <c r="U4" t="s">
        <v>64</v>
      </c>
      <c r="V4" t="s">
        <v>65</v>
      </c>
      <c r="W4" t="s">
        <v>74</v>
      </c>
    </row>
    <row r="5" spans="1:23" x14ac:dyDescent="0.25">
      <c r="A5" s="1"/>
      <c r="B5" s="1" t="s">
        <v>21</v>
      </c>
      <c r="C5" s="1"/>
      <c r="D5" s="1"/>
      <c r="E5" s="1"/>
      <c r="F5" s="1"/>
      <c r="G5" s="1"/>
      <c r="H5" s="1"/>
      <c r="I5" s="1"/>
      <c r="J5" s="1"/>
      <c r="K5" s="1"/>
      <c r="L5" s="1"/>
      <c r="M5" s="1"/>
      <c r="N5" s="1"/>
      <c r="O5" s="1"/>
      <c r="P5">
        <f>SUM(C5:N5)</f>
        <v>0</v>
      </c>
      <c r="Q5" s="4" t="str">
        <f>IF(ABS(P5-O5)&lt;3," ","Sum not correct")</f>
        <v xml:space="preserve"> </v>
      </c>
      <c r="S5" t="str">
        <f>VLOOKUP(B5,'Calcs and References'!A$2:E$9,5,FALSE)</f>
        <v>ELEC</v>
      </c>
      <c r="T5">
        <f>VLOOKUP(B5,'Calcs and References'!A$2:E$9,4,FALSE)*O5</f>
        <v>0</v>
      </c>
      <c r="U5">
        <f>T5*1000/'Basic Info'!$D$18</f>
        <v>0</v>
      </c>
      <c r="V5">
        <f>U5*VLOOKUP(B5,'Calcs and References'!A$2:D$9,3,FALSE)</f>
        <v>0</v>
      </c>
      <c r="W5">
        <f>VLOOKUP(B5,'Calcs and References'!A$2:E$9,2,FALSE)*O5</f>
        <v>0</v>
      </c>
    </row>
    <row r="6" spans="1:23" x14ac:dyDescent="0.25">
      <c r="A6" s="1"/>
      <c r="B6" s="1" t="s">
        <v>22</v>
      </c>
      <c r="C6" s="1"/>
      <c r="D6" s="1"/>
      <c r="E6" s="1"/>
      <c r="F6" s="1"/>
      <c r="G6" s="1"/>
      <c r="H6" s="1"/>
      <c r="I6" s="1"/>
      <c r="J6" s="1"/>
      <c r="K6" s="1"/>
      <c r="L6" s="1"/>
      <c r="M6" s="1"/>
      <c r="N6" s="1"/>
      <c r="O6" s="1"/>
      <c r="P6">
        <f>SUM(C6:N6)</f>
        <v>0</v>
      </c>
      <c r="Q6" s="4" t="str">
        <f t="shared" ref="Q6:Q8" si="0">IF(ABS(P6-O6)&lt;3," ","Sum not correct")</f>
        <v xml:space="preserve"> </v>
      </c>
      <c r="S6" t="str">
        <f>VLOOKUP(B6,'Calcs and References'!A$2:E$9,5,FALSE)</f>
        <v>FF</v>
      </c>
      <c r="T6">
        <f>VLOOKUP(B6,'Calcs and References'!A$2:E$9,4,FALSE)*O6</f>
        <v>0</v>
      </c>
      <c r="U6">
        <f>T6*1000/'Basic Info'!$D$18</f>
        <v>0</v>
      </c>
      <c r="V6">
        <f>U6*VLOOKUP(B6,'Calcs and References'!A$2:D$9,3,FALSE)</f>
        <v>0</v>
      </c>
      <c r="W6">
        <f>VLOOKUP(B6,'Calcs and References'!A$2:E$9,2,FALSE)*O6</f>
        <v>0</v>
      </c>
    </row>
    <row r="7" spans="1:23" x14ac:dyDescent="0.25">
      <c r="A7" s="1"/>
      <c r="B7" s="1"/>
      <c r="C7" s="1"/>
      <c r="D7" s="1"/>
      <c r="E7" s="1"/>
      <c r="F7" s="1"/>
      <c r="G7" s="1"/>
      <c r="H7" s="1"/>
      <c r="I7" s="1"/>
      <c r="J7" s="1"/>
      <c r="K7" s="1"/>
      <c r="L7" s="1"/>
      <c r="M7" s="1"/>
      <c r="N7" s="1"/>
      <c r="O7" s="1"/>
      <c r="P7">
        <f t="shared" ref="P7:P8" si="1">SUM(C7:N7)</f>
        <v>0</v>
      </c>
      <c r="Q7" s="4" t="str">
        <f t="shared" si="0"/>
        <v xml:space="preserve"> </v>
      </c>
      <c r="S7" t="e">
        <f>VLOOKUP(B7,'Calcs and References'!A$2:E$9,5,FALSE)</f>
        <v>#N/A</v>
      </c>
      <c r="T7" t="e">
        <f>VLOOKUP(B7,'Calcs and References'!A$2:E$9,4,FALSE)*O7</f>
        <v>#N/A</v>
      </c>
      <c r="U7" t="e">
        <f>T7*1000/'Basic Info'!$D$18</f>
        <v>#N/A</v>
      </c>
      <c r="V7" t="e">
        <f>U7*VLOOKUP(B7,'Calcs and References'!A$2:D$9,3,FALSE)</f>
        <v>#N/A</v>
      </c>
      <c r="W7" t="e">
        <f>VLOOKUP(B7,'Calcs and References'!A$2:E$9,2,FALSE)*O7</f>
        <v>#N/A</v>
      </c>
    </row>
    <row r="8" spans="1:23" x14ac:dyDescent="0.25">
      <c r="A8" s="1"/>
      <c r="B8" s="1"/>
      <c r="C8" s="1"/>
      <c r="D8" s="1"/>
      <c r="E8" s="1"/>
      <c r="F8" s="1"/>
      <c r="G8" s="1"/>
      <c r="H8" s="1"/>
      <c r="I8" s="1"/>
      <c r="J8" s="1"/>
      <c r="K8" s="1"/>
      <c r="L8" s="1"/>
      <c r="M8" s="1"/>
      <c r="N8" s="1"/>
      <c r="O8" s="1"/>
      <c r="P8">
        <f t="shared" si="1"/>
        <v>0</v>
      </c>
      <c r="Q8" s="4" t="str">
        <f t="shared" si="0"/>
        <v xml:space="preserve"> </v>
      </c>
      <c r="S8" t="e">
        <f>VLOOKUP(B8,'Calcs and References'!A$2:E$9,5,FALSE)</f>
        <v>#N/A</v>
      </c>
      <c r="T8" t="e">
        <f>VLOOKUP(B8,'Calcs and References'!A$2:E$9,4,FALSE)*O8</f>
        <v>#N/A</v>
      </c>
      <c r="U8" t="e">
        <f>T8*1000/'Basic Info'!$D$18</f>
        <v>#N/A</v>
      </c>
      <c r="V8" t="e">
        <f>U8*VLOOKUP(B8,'Calcs and References'!A$2:D$9,3,FALSE)</f>
        <v>#N/A</v>
      </c>
      <c r="W8" t="e">
        <f>VLOOKUP(B8,'Calcs and References'!A$2:E$9,2,FALSE)*O8</f>
        <v>#N/A</v>
      </c>
    </row>
    <row r="9" spans="1:23" x14ac:dyDescent="0.25">
      <c r="V9">
        <f>SUMIF(V5:V8,"&lt;&gt;#N/A")</f>
        <v>0</v>
      </c>
      <c r="W9">
        <f>SUMIF(W5:W8,"&lt;&gt;#N/A")</f>
        <v>0</v>
      </c>
    </row>
    <row r="10" spans="1:23" x14ac:dyDescent="0.25">
      <c r="T10" t="s">
        <v>70</v>
      </c>
      <c r="U10" t="s">
        <v>71</v>
      </c>
      <c r="V10" t="s">
        <v>123</v>
      </c>
    </row>
    <row r="11" spans="1:23" x14ac:dyDescent="0.25">
      <c r="A11" t="s">
        <v>25</v>
      </c>
      <c r="T11">
        <f>SUMIF(S5:S8,S2,O5:O8)</f>
        <v>0</v>
      </c>
      <c r="U11" s="34">
        <f>SUMIF(S5:S8,S2,T5:T8)</f>
        <v>0</v>
      </c>
      <c r="V11">
        <f>U11*'Calcs and References'!C2</f>
        <v>0</v>
      </c>
    </row>
    <row r="12" spans="1:23" ht="45" x14ac:dyDescent="0.25">
      <c r="A12" s="2" t="s">
        <v>26</v>
      </c>
      <c r="B12" s="2" t="s">
        <v>27</v>
      </c>
      <c r="C12" s="2" t="s">
        <v>33</v>
      </c>
      <c r="D12" s="3" t="s">
        <v>28</v>
      </c>
      <c r="E12" s="3" t="s">
        <v>29</v>
      </c>
      <c r="F12" s="3" t="s">
        <v>30</v>
      </c>
      <c r="G12" s="3" t="s">
        <v>31</v>
      </c>
      <c r="U12" t="s">
        <v>72</v>
      </c>
    </row>
    <row r="13" spans="1:23" x14ac:dyDescent="0.25">
      <c r="A13" s="1"/>
      <c r="B13" s="1"/>
      <c r="C13" s="1"/>
      <c r="D13" s="1"/>
      <c r="E13" s="1"/>
      <c r="F13" s="1"/>
      <c r="G13" s="1"/>
      <c r="H13" s="5"/>
      <c r="U13">
        <f>SUMIF(S5:S8,T2,T5:T8)</f>
        <v>0</v>
      </c>
      <c r="V13">
        <f>U13*'Calcs and References'!C3</f>
        <v>0</v>
      </c>
    </row>
    <row r="14" spans="1:23" x14ac:dyDescent="0.25">
      <c r="A14" s="1"/>
      <c r="B14" s="1"/>
      <c r="C14" s="1"/>
      <c r="D14" s="1"/>
      <c r="E14" s="1"/>
      <c r="F14" s="1"/>
      <c r="G14" s="1"/>
      <c r="H14" s="5"/>
      <c r="U14" t="s">
        <v>73</v>
      </c>
    </row>
    <row r="15" spans="1:23" x14ac:dyDescent="0.25">
      <c r="A15" s="1"/>
      <c r="B15" s="1"/>
      <c r="C15" s="1"/>
      <c r="D15" s="1"/>
      <c r="E15" s="1"/>
      <c r="F15" s="1"/>
      <c r="G15" s="1"/>
      <c r="H15" s="5"/>
      <c r="U15">
        <f>SUMIF(S5:S8,U2,T5:T8)</f>
        <v>0</v>
      </c>
      <c r="V15">
        <f>U15*'Calcs and References'!C6</f>
        <v>0</v>
      </c>
    </row>
    <row r="16" spans="1:23" x14ac:dyDescent="0.25">
      <c r="A16" s="1"/>
      <c r="B16" s="1"/>
      <c r="C16" s="1"/>
      <c r="D16" s="1"/>
      <c r="E16" s="1"/>
      <c r="F16" s="1"/>
      <c r="G16" s="1"/>
      <c r="H16" s="5"/>
    </row>
    <row r="17" spans="1:7" ht="30" x14ac:dyDescent="0.25">
      <c r="E17" s="3" t="s">
        <v>32</v>
      </c>
      <c r="F17" s="168" t="s">
        <v>23</v>
      </c>
      <c r="G17" s="168"/>
    </row>
    <row r="18" spans="1:7" x14ac:dyDescent="0.25">
      <c r="E18" s="1"/>
      <c r="F18" s="170" t="str">
        <f>IF(ABS(E13+E14+E15+E16-E18)&lt;3," ","Sum not correct")</f>
        <v xml:space="preserve"> </v>
      </c>
      <c r="G18" s="170"/>
    </row>
    <row r="20" spans="1:7" x14ac:dyDescent="0.25">
      <c r="A20" s="2" t="s">
        <v>37</v>
      </c>
    </row>
    <row r="21" spans="1:7" x14ac:dyDescent="0.25">
      <c r="A21" s="167"/>
      <c r="B21" s="167"/>
      <c r="C21" s="167"/>
      <c r="D21" s="167"/>
    </row>
  </sheetData>
  <mergeCells count="3">
    <mergeCell ref="F17:G17"/>
    <mergeCell ref="F18:G18"/>
    <mergeCell ref="A21:D2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140DA5-D648-4169-9B53-2E30A9C48146}">
          <x14:formula1>
            <xm:f>'Calcs and References'!$A$2:$A$9</xm:f>
          </x14:formula1>
          <xm:sqref>B5:B8 B13:B16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D226E-5501-4BA8-857A-CDB45EA391A5}">
  <dimension ref="A1:W21"/>
  <sheetViews>
    <sheetView workbookViewId="0">
      <selection activeCell="B13" sqref="B13"/>
    </sheetView>
  </sheetViews>
  <sheetFormatPr defaultRowHeight="15" x14ac:dyDescent="0.25"/>
  <cols>
    <col min="1" max="1" width="29.85546875" customWidth="1"/>
    <col min="2" max="2" width="18.7109375" customWidth="1"/>
    <col min="4" max="4" width="14.7109375" customWidth="1"/>
    <col min="16" max="16" width="0" hidden="1" customWidth="1"/>
    <col min="17" max="17" width="18.85546875" customWidth="1"/>
    <col min="19" max="19" width="9.140625" customWidth="1"/>
    <col min="20" max="20" width="13.42578125" customWidth="1"/>
    <col min="21" max="21" width="14.7109375" customWidth="1"/>
    <col min="22" max="22" width="11.28515625" customWidth="1"/>
    <col min="23" max="23" width="9.140625" customWidth="1"/>
  </cols>
  <sheetData>
    <row r="1" spans="1:23" x14ac:dyDescent="0.25">
      <c r="A1" t="s">
        <v>92</v>
      </c>
    </row>
    <row r="2" spans="1:23" x14ac:dyDescent="0.25">
      <c r="S2" t="s">
        <v>69</v>
      </c>
      <c r="T2" t="s">
        <v>67</v>
      </c>
      <c r="U2" t="s">
        <v>68</v>
      </c>
    </row>
    <row r="3" spans="1:23" x14ac:dyDescent="0.25">
      <c r="A3" t="s">
        <v>1</v>
      </c>
    </row>
    <row r="4" spans="1:23" ht="30" x14ac:dyDescent="0.25">
      <c r="A4" s="2" t="s">
        <v>15</v>
      </c>
      <c r="B4" s="2" t="s">
        <v>16</v>
      </c>
      <c r="C4" s="2" t="s">
        <v>2</v>
      </c>
      <c r="D4" s="3" t="s">
        <v>3</v>
      </c>
      <c r="E4" s="3" t="s">
        <v>4</v>
      </c>
      <c r="F4" s="3" t="s">
        <v>5</v>
      </c>
      <c r="G4" s="3" t="s">
        <v>6</v>
      </c>
      <c r="H4" s="3" t="s">
        <v>7</v>
      </c>
      <c r="I4" s="3" t="s">
        <v>8</v>
      </c>
      <c r="J4" s="3" t="s">
        <v>9</v>
      </c>
      <c r="K4" s="3" t="s">
        <v>10</v>
      </c>
      <c r="L4" s="3" t="s">
        <v>11</v>
      </c>
      <c r="M4" s="3" t="s">
        <v>12</v>
      </c>
      <c r="N4" s="3" t="s">
        <v>13</v>
      </c>
      <c r="O4" s="3" t="s">
        <v>14</v>
      </c>
      <c r="P4" s="2"/>
      <c r="Q4" s="3" t="s">
        <v>23</v>
      </c>
      <c r="T4" s="33" t="s">
        <v>66</v>
      </c>
      <c r="U4" t="s">
        <v>64</v>
      </c>
      <c r="V4" t="s">
        <v>65</v>
      </c>
      <c r="W4" t="s">
        <v>74</v>
      </c>
    </row>
    <row r="5" spans="1:23" x14ac:dyDescent="0.25">
      <c r="A5" s="1"/>
      <c r="B5" s="1" t="s">
        <v>21</v>
      </c>
      <c r="C5" s="1"/>
      <c r="D5" s="1"/>
      <c r="E5" s="1"/>
      <c r="F5" s="1"/>
      <c r="G5" s="1"/>
      <c r="H5" s="1"/>
      <c r="I5" s="1"/>
      <c r="J5" s="1"/>
      <c r="K5" s="1"/>
      <c r="L5" s="1"/>
      <c r="M5" s="1"/>
      <c r="N5" s="1"/>
      <c r="O5" s="1"/>
      <c r="P5">
        <f>SUM(C5:N5)</f>
        <v>0</v>
      </c>
      <c r="Q5" s="4" t="str">
        <f>IF(ABS(P5-O5)&lt;3," ","Sum not correct")</f>
        <v xml:space="preserve"> </v>
      </c>
      <c r="S5" t="str">
        <f>VLOOKUP(B5,'Calcs and References'!A$2:E$9,5,FALSE)</f>
        <v>ELEC</v>
      </c>
      <c r="T5">
        <f>VLOOKUP(B5,'Calcs and References'!A$2:E$9,4,FALSE)*O5</f>
        <v>0</v>
      </c>
      <c r="U5">
        <f>T5*1000/'Basic Info'!$D$18</f>
        <v>0</v>
      </c>
      <c r="V5">
        <f>U5*VLOOKUP(B5,'Calcs and References'!A$2:D$9,3,FALSE)</f>
        <v>0</v>
      </c>
      <c r="W5">
        <f>VLOOKUP(B5,'Calcs and References'!A$2:E$9,2,FALSE)*O5</f>
        <v>0</v>
      </c>
    </row>
    <row r="6" spans="1:23" x14ac:dyDescent="0.25">
      <c r="A6" s="1"/>
      <c r="B6" s="1" t="s">
        <v>22</v>
      </c>
      <c r="C6" s="1"/>
      <c r="D6" s="1"/>
      <c r="E6" s="1"/>
      <c r="F6" s="1"/>
      <c r="G6" s="1"/>
      <c r="H6" s="1"/>
      <c r="I6" s="1"/>
      <c r="J6" s="1"/>
      <c r="K6" s="1"/>
      <c r="L6" s="1"/>
      <c r="M6" s="1"/>
      <c r="N6" s="1"/>
      <c r="O6" s="1"/>
      <c r="P6">
        <f>SUM(C6:N6)</f>
        <v>0</v>
      </c>
      <c r="Q6" s="4" t="str">
        <f t="shared" ref="Q6:Q8" si="0">IF(ABS(P6-O6)&lt;3," ","Sum not correct")</f>
        <v xml:space="preserve"> </v>
      </c>
      <c r="S6" t="str">
        <f>VLOOKUP(B6,'Calcs and References'!A$2:E$9,5,FALSE)</f>
        <v>FF</v>
      </c>
      <c r="T6">
        <f>VLOOKUP(B6,'Calcs and References'!A$2:E$9,4,FALSE)*O6</f>
        <v>0</v>
      </c>
      <c r="U6">
        <f>T6*1000/'Basic Info'!$D$18</f>
        <v>0</v>
      </c>
      <c r="V6">
        <f>U6*VLOOKUP(B6,'Calcs and References'!A$2:D$9,3,FALSE)</f>
        <v>0</v>
      </c>
      <c r="W6">
        <f>VLOOKUP(B6,'Calcs and References'!A$2:E$9,2,FALSE)*O6</f>
        <v>0</v>
      </c>
    </row>
    <row r="7" spans="1:23" x14ac:dyDescent="0.25">
      <c r="A7" s="1"/>
      <c r="B7" s="1"/>
      <c r="C7" s="1"/>
      <c r="D7" s="1"/>
      <c r="E7" s="1"/>
      <c r="F7" s="1"/>
      <c r="G7" s="1"/>
      <c r="H7" s="1"/>
      <c r="I7" s="1"/>
      <c r="J7" s="1"/>
      <c r="K7" s="1"/>
      <c r="L7" s="1"/>
      <c r="M7" s="1"/>
      <c r="N7" s="1"/>
      <c r="O7" s="1"/>
      <c r="P7">
        <f t="shared" ref="P7:P8" si="1">SUM(C7:N7)</f>
        <v>0</v>
      </c>
      <c r="Q7" s="4" t="str">
        <f t="shared" si="0"/>
        <v xml:space="preserve"> </v>
      </c>
      <c r="S7" t="e">
        <f>VLOOKUP(B7,'Calcs and References'!A$2:E$9,5,FALSE)</f>
        <v>#N/A</v>
      </c>
      <c r="T7" t="e">
        <f>VLOOKUP(B7,'Calcs and References'!A$2:E$9,4,FALSE)*O7</f>
        <v>#N/A</v>
      </c>
      <c r="U7" t="e">
        <f>T7*1000/'Basic Info'!$D$18</f>
        <v>#N/A</v>
      </c>
      <c r="V7" t="e">
        <f>U7*VLOOKUP(B7,'Calcs and References'!A$2:D$9,3,FALSE)</f>
        <v>#N/A</v>
      </c>
      <c r="W7" t="e">
        <f>VLOOKUP(B7,'Calcs and References'!A$2:E$9,2,FALSE)*O7</f>
        <v>#N/A</v>
      </c>
    </row>
    <row r="8" spans="1:23" x14ac:dyDescent="0.25">
      <c r="A8" s="1"/>
      <c r="B8" s="1"/>
      <c r="C8" s="1"/>
      <c r="D8" s="1"/>
      <c r="E8" s="1"/>
      <c r="F8" s="1"/>
      <c r="G8" s="1"/>
      <c r="H8" s="1"/>
      <c r="I8" s="1"/>
      <c r="J8" s="1"/>
      <c r="K8" s="1"/>
      <c r="L8" s="1"/>
      <c r="M8" s="1"/>
      <c r="N8" s="1"/>
      <c r="O8" s="1"/>
      <c r="P8">
        <f t="shared" si="1"/>
        <v>0</v>
      </c>
      <c r="Q8" s="4" t="str">
        <f t="shared" si="0"/>
        <v xml:space="preserve"> </v>
      </c>
      <c r="S8" t="e">
        <f>VLOOKUP(B8,'Calcs and References'!A$2:E$9,5,FALSE)</f>
        <v>#N/A</v>
      </c>
      <c r="T8" t="e">
        <f>VLOOKUP(B8,'Calcs and References'!A$2:E$9,4,FALSE)*O8</f>
        <v>#N/A</v>
      </c>
      <c r="U8" t="e">
        <f>T8*1000/'Basic Info'!$D$18</f>
        <v>#N/A</v>
      </c>
      <c r="V8" t="e">
        <f>U8*VLOOKUP(B8,'Calcs and References'!A$2:D$9,3,FALSE)</f>
        <v>#N/A</v>
      </c>
      <c r="W8" t="e">
        <f>VLOOKUP(B8,'Calcs and References'!A$2:E$9,2,FALSE)*O8</f>
        <v>#N/A</v>
      </c>
    </row>
    <row r="9" spans="1:23" x14ac:dyDescent="0.25">
      <c r="V9">
        <f>SUMIF(V5:V8,"&lt;&gt;#N/A")</f>
        <v>0</v>
      </c>
      <c r="W9">
        <f>SUMIF(W5:W8,"&lt;&gt;#N/A")</f>
        <v>0</v>
      </c>
    </row>
    <row r="10" spans="1:23" x14ac:dyDescent="0.25">
      <c r="T10" t="s">
        <v>70</v>
      </c>
      <c r="U10" t="s">
        <v>71</v>
      </c>
      <c r="V10" t="s">
        <v>123</v>
      </c>
    </row>
    <row r="11" spans="1:23" x14ac:dyDescent="0.25">
      <c r="A11" t="s">
        <v>25</v>
      </c>
      <c r="T11">
        <f>SUMIF(S5:S8,S2,O5:O8)</f>
        <v>0</v>
      </c>
      <c r="U11" s="34">
        <f>SUMIF(S5:S8,S2,T5:T8)</f>
        <v>0</v>
      </c>
      <c r="V11">
        <f>U11*'Calcs and References'!C2</f>
        <v>0</v>
      </c>
    </row>
    <row r="12" spans="1:23" ht="45" x14ac:dyDescent="0.25">
      <c r="A12" s="2" t="s">
        <v>26</v>
      </c>
      <c r="B12" s="2" t="s">
        <v>27</v>
      </c>
      <c r="C12" s="2" t="s">
        <v>33</v>
      </c>
      <c r="D12" s="3" t="s">
        <v>28</v>
      </c>
      <c r="E12" s="3" t="s">
        <v>29</v>
      </c>
      <c r="F12" s="3" t="s">
        <v>30</v>
      </c>
      <c r="G12" s="3" t="s">
        <v>31</v>
      </c>
      <c r="U12" t="s">
        <v>72</v>
      </c>
    </row>
    <row r="13" spans="1:23" x14ac:dyDescent="0.25">
      <c r="A13" s="1"/>
      <c r="B13" s="1"/>
      <c r="C13" s="1"/>
      <c r="D13" s="1"/>
      <c r="E13" s="1"/>
      <c r="F13" s="1"/>
      <c r="G13" s="1"/>
      <c r="H13" s="5"/>
      <c r="U13">
        <f>SUMIF(S5:S8,T2,T5:T8)</f>
        <v>0</v>
      </c>
      <c r="V13">
        <f>U13*'Calcs and References'!C3</f>
        <v>0</v>
      </c>
    </row>
    <row r="14" spans="1:23" x14ac:dyDescent="0.25">
      <c r="A14" s="1"/>
      <c r="B14" s="1"/>
      <c r="C14" s="1"/>
      <c r="D14" s="1"/>
      <c r="E14" s="1"/>
      <c r="F14" s="1"/>
      <c r="G14" s="1"/>
      <c r="H14" s="5"/>
      <c r="U14" t="s">
        <v>73</v>
      </c>
    </row>
    <row r="15" spans="1:23" x14ac:dyDescent="0.25">
      <c r="A15" s="1"/>
      <c r="B15" s="1"/>
      <c r="C15" s="1"/>
      <c r="D15" s="1"/>
      <c r="E15" s="1"/>
      <c r="F15" s="1"/>
      <c r="G15" s="1"/>
      <c r="H15" s="5"/>
      <c r="U15">
        <f>SUMIF(S5:S8,U2,T5:T8)</f>
        <v>0</v>
      </c>
      <c r="V15">
        <f>U15*'Calcs and References'!C6</f>
        <v>0</v>
      </c>
    </row>
    <row r="16" spans="1:23" x14ac:dyDescent="0.25">
      <c r="A16" s="1"/>
      <c r="B16" s="1"/>
      <c r="C16" s="1"/>
      <c r="D16" s="1"/>
      <c r="E16" s="1"/>
      <c r="F16" s="1"/>
      <c r="G16" s="1"/>
      <c r="H16" s="5"/>
    </row>
    <row r="17" spans="1:7" ht="30" x14ac:dyDescent="0.25">
      <c r="E17" s="3" t="s">
        <v>32</v>
      </c>
      <c r="F17" s="168" t="s">
        <v>23</v>
      </c>
      <c r="G17" s="168"/>
    </row>
    <row r="18" spans="1:7" x14ac:dyDescent="0.25">
      <c r="E18" s="1"/>
      <c r="F18" s="170" t="str">
        <f>IF(ABS(E13+E14+E15+E16-E18)&lt;3," ","Sum not correct")</f>
        <v xml:space="preserve"> </v>
      </c>
      <c r="G18" s="170"/>
    </row>
    <row r="20" spans="1:7" x14ac:dyDescent="0.25">
      <c r="A20" s="2" t="s">
        <v>37</v>
      </c>
    </row>
    <row r="21" spans="1:7" x14ac:dyDescent="0.25">
      <c r="A21" s="167"/>
      <c r="B21" s="167"/>
      <c r="C21" s="167"/>
      <c r="D21" s="167"/>
    </row>
  </sheetData>
  <mergeCells count="3">
    <mergeCell ref="F17:G17"/>
    <mergeCell ref="F18:G18"/>
    <mergeCell ref="A21:D2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315460-58FF-4F47-9C63-B260EA0F1383}">
          <x14:formula1>
            <xm:f>'Calcs and References'!$A$2:$A$9</xm:f>
          </x14:formula1>
          <xm:sqref>B13:B16 B5:B8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37804-8357-4D2E-8A0D-032DB9283980}">
  <dimension ref="A1:W21"/>
  <sheetViews>
    <sheetView workbookViewId="0">
      <selection activeCell="F24" sqref="F24"/>
    </sheetView>
  </sheetViews>
  <sheetFormatPr defaultRowHeight="15" x14ac:dyDescent="0.25"/>
  <cols>
    <col min="1" max="1" width="29.85546875" customWidth="1"/>
    <col min="2" max="2" width="18.7109375" customWidth="1"/>
    <col min="4" max="4" width="14.7109375" customWidth="1"/>
    <col min="16" max="16" width="0" hidden="1" customWidth="1"/>
    <col min="17" max="17" width="18.85546875" customWidth="1"/>
    <col min="19" max="19" width="9.140625" customWidth="1"/>
    <col min="20" max="20" width="13.42578125" customWidth="1"/>
    <col min="21" max="21" width="14.7109375" customWidth="1"/>
    <col min="22" max="22" width="11.28515625" customWidth="1"/>
    <col min="23" max="23" width="9.140625" customWidth="1"/>
  </cols>
  <sheetData>
    <row r="1" spans="1:23" x14ac:dyDescent="0.25">
      <c r="A1" t="s">
        <v>93</v>
      </c>
    </row>
    <row r="2" spans="1:23" x14ac:dyDescent="0.25">
      <c r="S2" t="s">
        <v>69</v>
      </c>
      <c r="T2" t="s">
        <v>67</v>
      </c>
      <c r="U2" t="s">
        <v>68</v>
      </c>
    </row>
    <row r="3" spans="1:23" x14ac:dyDescent="0.25">
      <c r="A3" t="s">
        <v>1</v>
      </c>
    </row>
    <row r="4" spans="1:23" ht="30" x14ac:dyDescent="0.25">
      <c r="A4" s="2" t="s">
        <v>15</v>
      </c>
      <c r="B4" s="2" t="s">
        <v>16</v>
      </c>
      <c r="C4" s="2" t="s">
        <v>2</v>
      </c>
      <c r="D4" s="3" t="s">
        <v>3</v>
      </c>
      <c r="E4" s="3" t="s">
        <v>4</v>
      </c>
      <c r="F4" s="3" t="s">
        <v>5</v>
      </c>
      <c r="G4" s="3" t="s">
        <v>6</v>
      </c>
      <c r="H4" s="3" t="s">
        <v>7</v>
      </c>
      <c r="I4" s="3" t="s">
        <v>8</v>
      </c>
      <c r="J4" s="3" t="s">
        <v>9</v>
      </c>
      <c r="K4" s="3" t="s">
        <v>10</v>
      </c>
      <c r="L4" s="3" t="s">
        <v>11</v>
      </c>
      <c r="M4" s="3" t="s">
        <v>12</v>
      </c>
      <c r="N4" s="3" t="s">
        <v>13</v>
      </c>
      <c r="O4" s="3" t="s">
        <v>14</v>
      </c>
      <c r="P4" s="2"/>
      <c r="Q4" s="3" t="s">
        <v>23</v>
      </c>
      <c r="T4" s="33" t="s">
        <v>66</v>
      </c>
      <c r="U4" t="s">
        <v>64</v>
      </c>
      <c r="V4" t="s">
        <v>65</v>
      </c>
      <c r="W4" t="s">
        <v>74</v>
      </c>
    </row>
    <row r="5" spans="1:23" x14ac:dyDescent="0.25">
      <c r="A5" s="1"/>
      <c r="B5" s="1" t="s">
        <v>21</v>
      </c>
      <c r="C5" s="1"/>
      <c r="D5" s="1"/>
      <c r="E5" s="1"/>
      <c r="F5" s="1"/>
      <c r="G5" s="1"/>
      <c r="H5" s="1"/>
      <c r="I5" s="1"/>
      <c r="J5" s="1"/>
      <c r="K5" s="1"/>
      <c r="L5" s="1"/>
      <c r="M5" s="1"/>
      <c r="N5" s="1"/>
      <c r="O5" s="1"/>
      <c r="P5">
        <f>SUM(C5:N5)</f>
        <v>0</v>
      </c>
      <c r="Q5" s="4" t="str">
        <f>IF(ABS(P5-O5)&lt;3," ","Sum not correct")</f>
        <v xml:space="preserve"> </v>
      </c>
      <c r="S5" t="str">
        <f>VLOOKUP(B5,'Calcs and References'!A$2:E$9,5,FALSE)</f>
        <v>ELEC</v>
      </c>
      <c r="T5">
        <f>VLOOKUP(B5,'Calcs and References'!A$2:E$9,4,FALSE)*O5</f>
        <v>0</v>
      </c>
      <c r="U5">
        <f>T5*1000/'Basic Info'!$D$18</f>
        <v>0</v>
      </c>
      <c r="V5">
        <f>U5*VLOOKUP(B5,'Calcs and References'!A$2:D$9,3,FALSE)</f>
        <v>0</v>
      </c>
      <c r="W5">
        <f>VLOOKUP(B5,'Calcs and References'!A$2:E$9,2,FALSE)*O5</f>
        <v>0</v>
      </c>
    </row>
    <row r="6" spans="1:23" x14ac:dyDescent="0.25">
      <c r="A6" s="1"/>
      <c r="B6" s="1" t="s">
        <v>22</v>
      </c>
      <c r="C6" s="1"/>
      <c r="D6" s="1"/>
      <c r="E6" s="1"/>
      <c r="F6" s="1"/>
      <c r="G6" s="1"/>
      <c r="H6" s="1"/>
      <c r="I6" s="1"/>
      <c r="J6" s="1"/>
      <c r="K6" s="1"/>
      <c r="L6" s="1"/>
      <c r="M6" s="1"/>
      <c r="N6" s="1"/>
      <c r="O6" s="1"/>
      <c r="P6">
        <f>SUM(C6:N6)</f>
        <v>0</v>
      </c>
      <c r="Q6" s="4" t="str">
        <f t="shared" ref="Q6:Q8" si="0">IF(ABS(P6-O6)&lt;3," ","Sum not correct")</f>
        <v xml:space="preserve"> </v>
      </c>
      <c r="S6" t="str">
        <f>VLOOKUP(B6,'Calcs and References'!A$2:E$9,5,FALSE)</f>
        <v>FF</v>
      </c>
      <c r="T6">
        <f>VLOOKUP(B6,'Calcs and References'!A$2:E$9,4,FALSE)*O6</f>
        <v>0</v>
      </c>
      <c r="U6">
        <f>T6*1000/'Basic Info'!$D$18</f>
        <v>0</v>
      </c>
      <c r="V6">
        <f>U6*VLOOKUP(B6,'Calcs and References'!A$2:D$9,3,FALSE)</f>
        <v>0</v>
      </c>
      <c r="W6">
        <f>VLOOKUP(B6,'Calcs and References'!A$2:E$9,2,FALSE)*O6</f>
        <v>0</v>
      </c>
    </row>
    <row r="7" spans="1:23" x14ac:dyDescent="0.25">
      <c r="A7" s="1"/>
      <c r="B7" s="1"/>
      <c r="C7" s="1"/>
      <c r="D7" s="1"/>
      <c r="E7" s="1"/>
      <c r="F7" s="1"/>
      <c r="G7" s="1"/>
      <c r="H7" s="1"/>
      <c r="I7" s="1"/>
      <c r="J7" s="1"/>
      <c r="K7" s="1"/>
      <c r="L7" s="1"/>
      <c r="M7" s="1"/>
      <c r="N7" s="1"/>
      <c r="O7" s="1"/>
      <c r="P7">
        <f t="shared" ref="P7:P8" si="1">SUM(C7:N7)</f>
        <v>0</v>
      </c>
      <c r="Q7" s="4" t="str">
        <f t="shared" si="0"/>
        <v xml:space="preserve"> </v>
      </c>
      <c r="S7" t="e">
        <f>VLOOKUP(B7,'Calcs and References'!A$2:E$9,5,FALSE)</f>
        <v>#N/A</v>
      </c>
      <c r="T7" t="e">
        <f>VLOOKUP(B7,'Calcs and References'!A$2:E$9,4,FALSE)*O7</f>
        <v>#N/A</v>
      </c>
      <c r="U7" t="e">
        <f>T7*1000/'Basic Info'!$D$18</f>
        <v>#N/A</v>
      </c>
      <c r="V7" t="e">
        <f>U7*VLOOKUP(B7,'Calcs and References'!A$2:D$9,3,FALSE)</f>
        <v>#N/A</v>
      </c>
      <c r="W7" t="e">
        <f>VLOOKUP(B7,'Calcs and References'!A$2:E$9,2,FALSE)*O7</f>
        <v>#N/A</v>
      </c>
    </row>
    <row r="8" spans="1:23" x14ac:dyDescent="0.25">
      <c r="A8" s="1"/>
      <c r="B8" s="1"/>
      <c r="C8" s="1"/>
      <c r="D8" s="1"/>
      <c r="E8" s="1"/>
      <c r="F8" s="1"/>
      <c r="G8" s="1"/>
      <c r="H8" s="1"/>
      <c r="I8" s="1"/>
      <c r="J8" s="1"/>
      <c r="K8" s="1"/>
      <c r="L8" s="1"/>
      <c r="M8" s="1"/>
      <c r="N8" s="1"/>
      <c r="O8" s="1"/>
      <c r="P8">
        <f t="shared" si="1"/>
        <v>0</v>
      </c>
      <c r="Q8" s="4" t="str">
        <f t="shared" si="0"/>
        <v xml:space="preserve"> </v>
      </c>
      <c r="S8" t="e">
        <f>VLOOKUP(B8,'Calcs and References'!A$2:E$9,5,FALSE)</f>
        <v>#N/A</v>
      </c>
      <c r="T8" t="e">
        <f>VLOOKUP(B8,'Calcs and References'!A$2:E$9,4,FALSE)*O8</f>
        <v>#N/A</v>
      </c>
      <c r="U8" t="e">
        <f>T8*1000/'Basic Info'!$D$18</f>
        <v>#N/A</v>
      </c>
      <c r="V8" t="e">
        <f>U8*VLOOKUP(B8,'Calcs and References'!A$2:D$9,3,FALSE)</f>
        <v>#N/A</v>
      </c>
      <c r="W8" t="e">
        <f>VLOOKUP(B8,'Calcs and References'!A$2:E$9,2,FALSE)*O8</f>
        <v>#N/A</v>
      </c>
    </row>
    <row r="9" spans="1:23" x14ac:dyDescent="0.25">
      <c r="V9">
        <f>SUMIF(V5:V8,"&lt;&gt;#N/A")</f>
        <v>0</v>
      </c>
      <c r="W9">
        <f>SUMIF(W5:W8,"&lt;&gt;#N/A")</f>
        <v>0</v>
      </c>
    </row>
    <row r="10" spans="1:23" x14ac:dyDescent="0.25">
      <c r="T10" t="s">
        <v>70</v>
      </c>
      <c r="U10" t="s">
        <v>71</v>
      </c>
      <c r="V10" t="s">
        <v>123</v>
      </c>
    </row>
    <row r="11" spans="1:23" x14ac:dyDescent="0.25">
      <c r="A11" t="s">
        <v>25</v>
      </c>
      <c r="T11">
        <f>SUMIF(S5:S8,S2,O5:O8)</f>
        <v>0</v>
      </c>
      <c r="U11" s="34">
        <f>SUMIF(S5:S8,S2,T5:T8)</f>
        <v>0</v>
      </c>
      <c r="V11">
        <f>U11*'Calcs and References'!C2</f>
        <v>0</v>
      </c>
    </row>
    <row r="12" spans="1:23" ht="45" x14ac:dyDescent="0.25">
      <c r="A12" s="2" t="s">
        <v>26</v>
      </c>
      <c r="B12" s="2" t="s">
        <v>27</v>
      </c>
      <c r="C12" s="2" t="s">
        <v>33</v>
      </c>
      <c r="D12" s="3" t="s">
        <v>28</v>
      </c>
      <c r="E12" s="3" t="s">
        <v>29</v>
      </c>
      <c r="F12" s="3" t="s">
        <v>30</v>
      </c>
      <c r="G12" s="3" t="s">
        <v>31</v>
      </c>
      <c r="U12" t="s">
        <v>72</v>
      </c>
    </row>
    <row r="13" spans="1:23" x14ac:dyDescent="0.25">
      <c r="A13" s="1"/>
      <c r="B13" s="1"/>
      <c r="C13" s="1"/>
      <c r="D13" s="1"/>
      <c r="E13" s="1"/>
      <c r="F13" s="1"/>
      <c r="G13" s="1"/>
      <c r="H13" s="5"/>
      <c r="U13">
        <f>SUMIF(S5:S8,T2,T5:T8)</f>
        <v>0</v>
      </c>
      <c r="V13">
        <f>U13*'Calcs and References'!C3</f>
        <v>0</v>
      </c>
    </row>
    <row r="14" spans="1:23" x14ac:dyDescent="0.25">
      <c r="A14" s="1"/>
      <c r="B14" s="1"/>
      <c r="C14" s="1"/>
      <c r="D14" s="1"/>
      <c r="E14" s="1"/>
      <c r="F14" s="1"/>
      <c r="G14" s="1"/>
      <c r="H14" s="5"/>
      <c r="U14" t="s">
        <v>73</v>
      </c>
    </row>
    <row r="15" spans="1:23" x14ac:dyDescent="0.25">
      <c r="A15" s="1"/>
      <c r="B15" s="1"/>
      <c r="C15" s="1"/>
      <c r="D15" s="1"/>
      <c r="E15" s="1"/>
      <c r="F15" s="1"/>
      <c r="G15" s="1"/>
      <c r="H15" s="5"/>
      <c r="U15">
        <f>SUMIF(S5:S8,U2,T5:T8)</f>
        <v>0</v>
      </c>
      <c r="V15">
        <f>U15*'Calcs and References'!C6</f>
        <v>0</v>
      </c>
    </row>
    <row r="16" spans="1:23" x14ac:dyDescent="0.25">
      <c r="A16" s="1"/>
      <c r="B16" s="1"/>
      <c r="C16" s="1"/>
      <c r="D16" s="1"/>
      <c r="E16" s="1"/>
      <c r="F16" s="1"/>
      <c r="G16" s="1"/>
      <c r="H16" s="5"/>
    </row>
    <row r="17" spans="1:7" ht="30" x14ac:dyDescent="0.25">
      <c r="E17" s="3" t="s">
        <v>32</v>
      </c>
      <c r="F17" s="168" t="s">
        <v>23</v>
      </c>
      <c r="G17" s="168"/>
    </row>
    <row r="18" spans="1:7" x14ac:dyDescent="0.25">
      <c r="E18" s="1"/>
      <c r="F18" s="170" t="str">
        <f>IF(ABS(E13+E14+E15+E16-E18)&lt;3," ","Sum not correct")</f>
        <v xml:space="preserve"> </v>
      </c>
      <c r="G18" s="170"/>
    </row>
    <row r="20" spans="1:7" x14ac:dyDescent="0.25">
      <c r="A20" s="2" t="s">
        <v>37</v>
      </c>
    </row>
    <row r="21" spans="1:7" x14ac:dyDescent="0.25">
      <c r="A21" s="167"/>
      <c r="B21" s="167"/>
      <c r="C21" s="167"/>
      <c r="D21" s="167"/>
    </row>
  </sheetData>
  <mergeCells count="3">
    <mergeCell ref="F17:G17"/>
    <mergeCell ref="F18:G18"/>
    <mergeCell ref="A21:D2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A906297-96B8-4A74-801F-EC312C72BB8B}">
          <x14:formula1>
            <xm:f>'Calcs and References'!$A$2:$A$9</xm:f>
          </x14:formula1>
          <xm:sqref>B13:B16 B5:B8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69B51-5A8C-466F-BB86-2CF8D9B9F8A9}">
  <dimension ref="B1:O44"/>
  <sheetViews>
    <sheetView topLeftCell="A16" workbookViewId="0">
      <selection activeCell="O4" sqref="D4:O19"/>
    </sheetView>
  </sheetViews>
  <sheetFormatPr defaultRowHeight="15" x14ac:dyDescent="0.25"/>
  <cols>
    <col min="1" max="1" width="2.7109375" customWidth="1"/>
    <col min="2" max="2" width="7" customWidth="1"/>
    <col min="3" max="3" width="39.42578125" customWidth="1"/>
    <col min="4" max="4" width="13.5703125" customWidth="1"/>
    <col min="5" max="5" width="12.7109375" customWidth="1"/>
    <col min="6" max="7" width="13.140625" customWidth="1"/>
    <col min="8" max="9" width="14.28515625" customWidth="1"/>
    <col min="10" max="10" width="15.42578125" customWidth="1"/>
    <col min="11" max="13" width="15" customWidth="1"/>
    <col min="14" max="14" width="15.140625" customWidth="1"/>
    <col min="15" max="15" width="15.7109375" customWidth="1"/>
  </cols>
  <sheetData>
    <row r="1" spans="2:15" ht="15.75" thickBot="1" x14ac:dyDescent="0.3"/>
    <row r="2" spans="2:15" ht="27" thickBot="1" x14ac:dyDescent="0.45">
      <c r="C2" s="118" t="s">
        <v>42</v>
      </c>
      <c r="D2" s="119"/>
      <c r="E2" s="119"/>
      <c r="F2" s="119"/>
      <c r="G2" s="119"/>
      <c r="H2" s="119"/>
      <c r="I2" s="119"/>
      <c r="J2" s="119"/>
      <c r="K2" s="119"/>
      <c r="L2" s="119"/>
      <c r="M2" s="119"/>
      <c r="N2" s="119"/>
      <c r="O2" s="120"/>
    </row>
    <row r="3" spans="2:15" ht="45.75" thickBot="1" x14ac:dyDescent="0.3">
      <c r="B3" s="8" t="s">
        <v>43</v>
      </c>
      <c r="C3" s="36" t="s">
        <v>37</v>
      </c>
      <c r="D3" s="38" t="s">
        <v>40</v>
      </c>
      <c r="E3" s="39" t="s">
        <v>38</v>
      </c>
      <c r="F3" s="39" t="s">
        <v>39</v>
      </c>
      <c r="G3" s="39" t="s">
        <v>80</v>
      </c>
      <c r="H3" s="39" t="s">
        <v>79</v>
      </c>
      <c r="I3" s="39" t="s">
        <v>78</v>
      </c>
      <c r="J3" s="39" t="s">
        <v>41</v>
      </c>
      <c r="K3" s="39" t="s">
        <v>77</v>
      </c>
      <c r="L3" s="39" t="s">
        <v>96</v>
      </c>
      <c r="M3" s="39" t="s">
        <v>97</v>
      </c>
      <c r="N3" s="39" t="s">
        <v>82</v>
      </c>
      <c r="O3" s="40" t="s">
        <v>81</v>
      </c>
    </row>
    <row r="4" spans="2:15" ht="15.75" thickBot="1" x14ac:dyDescent="0.3">
      <c r="B4" s="35" t="s">
        <v>76</v>
      </c>
      <c r="C4" s="37" t="s">
        <v>75</v>
      </c>
      <c r="D4" s="49" t="s">
        <v>76</v>
      </c>
      <c r="E4" s="46">
        <f>'Existing Building Baseline'!F18</f>
        <v>310994</v>
      </c>
      <c r="F4" s="44" t="s">
        <v>76</v>
      </c>
      <c r="G4" s="86">
        <f>'Existing Building Baseline'!V9</f>
        <v>93.924178602640424</v>
      </c>
      <c r="H4" s="44" t="s">
        <v>76</v>
      </c>
      <c r="I4" s="86">
        <f>'Existing Building Baseline'!U11</f>
        <v>3067.7015276999996</v>
      </c>
      <c r="J4" s="44" t="s">
        <v>76</v>
      </c>
      <c r="K4" s="86">
        <f>'Existing Building Baseline'!U13</f>
        <v>531.30000000000007</v>
      </c>
      <c r="L4" s="44" t="s">
        <v>76</v>
      </c>
      <c r="M4" s="87">
        <f>'Existing Building Baseline'!U15</f>
        <v>0</v>
      </c>
      <c r="N4" s="44" t="s">
        <v>76</v>
      </c>
      <c r="O4" s="88">
        <f>'Existing Building Baseline'!W9</f>
        <v>273.51756259406403</v>
      </c>
    </row>
    <row r="5" spans="2:15" x14ac:dyDescent="0.25">
      <c r="B5" s="9">
        <v>1</v>
      </c>
      <c r="C5" s="41" t="str">
        <f>IF('EEM1'!A21=0," ",'EEM1'!A21)</f>
        <v>EEM 1 - U-0.084 Wall Update</v>
      </c>
      <c r="D5" s="50">
        <f>E4-E5</f>
        <v>48040.677199999976</v>
      </c>
      <c r="E5" s="45">
        <f>'EEM1'!F18</f>
        <v>262953.32280000002</v>
      </c>
      <c r="F5" s="71">
        <f>G4-G5</f>
        <v>1.9463986997415645</v>
      </c>
      <c r="G5" s="71">
        <f>'EEM1'!V9</f>
        <v>91.97777990289886</v>
      </c>
      <c r="H5" s="71">
        <f>I4-I5</f>
        <v>29.893758539999908</v>
      </c>
      <c r="I5" s="71">
        <f>'EEM1'!U11</f>
        <v>3037.8077691599997</v>
      </c>
      <c r="J5" s="71">
        <f>K4-K5</f>
        <v>96.04000000000002</v>
      </c>
      <c r="K5" s="71">
        <f>'EEM1'!U13</f>
        <v>435.26000000000005</v>
      </c>
      <c r="L5" s="74">
        <f>M4-M5</f>
        <v>0</v>
      </c>
      <c r="M5" s="74">
        <f>'EEM1'!U$15</f>
        <v>0</v>
      </c>
      <c r="N5" s="74">
        <f>O4-O5</f>
        <v>9.401897251772823</v>
      </c>
      <c r="O5" s="75">
        <f>'EEM1'!W9</f>
        <v>264.11566534229121</v>
      </c>
    </row>
    <row r="6" spans="2:15" x14ac:dyDescent="0.25">
      <c r="B6" s="9">
        <v>2</v>
      </c>
      <c r="C6" s="42" t="str">
        <f>IF('EEM2'!A21=0," ",'EEM2'!A21)</f>
        <v>EEM2: New NG Boiler, 87%et</v>
      </c>
      <c r="D6" s="51">
        <f>IF($C6 = " "," ",E5-E6)</f>
        <v>187.0800000000163</v>
      </c>
      <c r="E6" s="47">
        <f>IF($C6 = " "," ",'EEM2'!F$18)</f>
        <v>262766.24280000001</v>
      </c>
      <c r="F6" s="72">
        <f>IF($C6 = " "," ",G5-G6)</f>
        <v>1.4380673460449316</v>
      </c>
      <c r="G6" s="72">
        <f>IF($C6 = " "," ",'EEM2'!V$9)</f>
        <v>90.539712556853928</v>
      </c>
      <c r="H6" s="72">
        <f>IF($C6 = " "," ",I5-I6)</f>
        <v>-2.6990027400001964</v>
      </c>
      <c r="I6" s="72">
        <f>IF($C6 = " "," ",'EEM2'!U$11)</f>
        <v>3040.5067718999999</v>
      </c>
      <c r="J6" s="72">
        <f>IF($C6 = " "," ",K5-K6)</f>
        <v>145.02938169999999</v>
      </c>
      <c r="K6" s="72">
        <f>IF($C6 = " "," ",'EEM2'!U$13)</f>
        <v>290.23061830000006</v>
      </c>
      <c r="L6" s="70">
        <f>IF($C6 = " "," ",M5-M6)</f>
        <v>0</v>
      </c>
      <c r="M6" s="70">
        <f>IF($C6 = " "," ",'EEM2'!U$15)</f>
        <v>0</v>
      </c>
      <c r="N6" s="70">
        <f>IF($C6 = " "," ",O5-O6)</f>
        <v>17.552657595883204</v>
      </c>
      <c r="O6" s="65">
        <f>IF($C6 = " "," ",'EEM2'!W$9)</f>
        <v>246.563007746408</v>
      </c>
    </row>
    <row r="7" spans="2:15" x14ac:dyDescent="0.25">
      <c r="B7" s="9">
        <v>3</v>
      </c>
      <c r="C7" s="42" t="str">
        <f>IF('EEM3'!A21=0," ",'EEM3'!A21)</f>
        <v>EEM3: Adding AHU serving Gym</v>
      </c>
      <c r="D7" s="51">
        <f t="shared" ref="D7:D19" si="0">IF($C7 = " "," ",E6-E7)</f>
        <v>-6708.9507999999914</v>
      </c>
      <c r="E7" s="47">
        <f>IF($C7 = " "," ",'EEM3'!F$18)</f>
        <v>269475.1936</v>
      </c>
      <c r="F7" s="72">
        <f t="shared" ref="F7:F19" si="1">IF($C7 = " "," ",G6-G7)</f>
        <v>-2.1201399482696388</v>
      </c>
      <c r="G7" s="72">
        <f>IF($C7 = " "," ",'EEM3'!V$9)</f>
        <v>92.659852505123567</v>
      </c>
      <c r="H7" s="72">
        <f t="shared" ref="H7:H19" si="2">IF($C7 = " "," ",I6-I7)</f>
        <v>-76.91987201999973</v>
      </c>
      <c r="I7" s="72">
        <f>IF($C7 = " "," ",'EEM3'!U$11)</f>
        <v>3117.4266439199996</v>
      </c>
      <c r="J7" s="72">
        <f t="shared" ref="J7:J19" si="3">IF($C7 = " "," ",K6-K7)</f>
        <v>7.0983031000000096</v>
      </c>
      <c r="K7" s="72">
        <f>IF($C7 = " "," ",'EEM3'!U$13)</f>
        <v>283.13231520000005</v>
      </c>
      <c r="L7" s="70">
        <f t="shared" ref="L7:L19" si="4">IF($C7 = " "," ",M6-M7)</f>
        <v>0</v>
      </c>
      <c r="M7" s="70">
        <f>IF($C7 = " "," ",'EEM3'!U$15)</f>
        <v>0</v>
      </c>
      <c r="N7" s="70">
        <f t="shared" ref="N7:N19" si="5">IF($C7 = " "," ",O6-O7)</f>
        <v>-5.515609477566386</v>
      </c>
      <c r="O7" s="65">
        <f>IF($C7 = " "," ",'EEM3'!W$9)</f>
        <v>252.07861722397439</v>
      </c>
    </row>
    <row r="8" spans="2:15" x14ac:dyDescent="0.25">
      <c r="B8" s="9">
        <v>4</v>
      </c>
      <c r="C8" s="42" t="str">
        <f>IF('EEM4'!A21=0," ",'EEM4'!A21)</f>
        <v xml:space="preserve"> </v>
      </c>
      <c r="D8" s="51" t="str">
        <f t="shared" si="0"/>
        <v xml:space="preserve"> </v>
      </c>
      <c r="E8" s="47" t="str">
        <f>IF($C8 = " "," ",'EEM4'!E$18)</f>
        <v xml:space="preserve"> </v>
      </c>
      <c r="F8" s="72" t="str">
        <f t="shared" si="1"/>
        <v xml:space="preserve"> </v>
      </c>
      <c r="G8" s="72" t="str">
        <f>IF($C8 = " "," ",'EEM4'!V$9)</f>
        <v xml:space="preserve"> </v>
      </c>
      <c r="H8" s="72" t="str">
        <f t="shared" si="2"/>
        <v xml:space="preserve"> </v>
      </c>
      <c r="I8" s="72" t="str">
        <f>IF($C8 = " "," ",'EEM4'!U$11)</f>
        <v xml:space="preserve"> </v>
      </c>
      <c r="J8" s="72" t="str">
        <f t="shared" si="3"/>
        <v xml:space="preserve"> </v>
      </c>
      <c r="K8" s="72" t="str">
        <f>IF($C8 = " "," ",'EEM4'!U$13)</f>
        <v xml:space="preserve"> </v>
      </c>
      <c r="L8" s="70" t="str">
        <f t="shared" si="4"/>
        <v xml:space="preserve"> </v>
      </c>
      <c r="M8" s="70" t="str">
        <f>IF($C8 = " "," ",'EEM4'!U$15)</f>
        <v xml:space="preserve"> </v>
      </c>
      <c r="N8" s="70" t="str">
        <f t="shared" si="5"/>
        <v xml:space="preserve"> </v>
      </c>
      <c r="O8" s="65" t="str">
        <f>IF($C8 = " "," ",'EEM4'!W$9)</f>
        <v xml:space="preserve"> </v>
      </c>
    </row>
    <row r="9" spans="2:15" x14ac:dyDescent="0.25">
      <c r="B9" s="9">
        <v>5</v>
      </c>
      <c r="C9" s="42" t="str">
        <f>IF('EEM5'!A21=0," ",'EEM5'!A21)</f>
        <v xml:space="preserve"> </v>
      </c>
      <c r="D9" s="51" t="str">
        <f t="shared" si="0"/>
        <v xml:space="preserve"> </v>
      </c>
      <c r="E9" s="47" t="str">
        <f>IF($C9 = " "," ",'EEM5'!E$18)</f>
        <v xml:space="preserve"> </v>
      </c>
      <c r="F9" s="72" t="str">
        <f t="shared" si="1"/>
        <v xml:space="preserve"> </v>
      </c>
      <c r="G9" s="72" t="str">
        <f>IF($C9 = " "," ",'EEM5'!V$9)</f>
        <v xml:space="preserve"> </v>
      </c>
      <c r="H9" s="72" t="str">
        <f t="shared" si="2"/>
        <v xml:space="preserve"> </v>
      </c>
      <c r="I9" s="72" t="str">
        <f>IF($C9 = " "," ",'EEM5'!U$11)</f>
        <v xml:space="preserve"> </v>
      </c>
      <c r="J9" s="72" t="str">
        <f t="shared" si="3"/>
        <v xml:space="preserve"> </v>
      </c>
      <c r="K9" s="72" t="str">
        <f>IF($C9 = " "," ",'EEM5'!U$13)</f>
        <v xml:space="preserve"> </v>
      </c>
      <c r="L9" s="70" t="str">
        <f t="shared" si="4"/>
        <v xml:space="preserve"> </v>
      </c>
      <c r="M9" s="70" t="str">
        <f>IF($C9 = " "," ",'EEM5'!U$15)</f>
        <v xml:space="preserve"> </v>
      </c>
      <c r="N9" s="70" t="str">
        <f t="shared" si="5"/>
        <v xml:space="preserve"> </v>
      </c>
      <c r="O9" s="65" t="str">
        <f>IF($C9 = " "," ",'EEM5'!W$9)</f>
        <v xml:space="preserve"> </v>
      </c>
    </row>
    <row r="10" spans="2:15" x14ac:dyDescent="0.25">
      <c r="B10" s="9">
        <v>6</v>
      </c>
      <c r="C10" s="42" t="str">
        <f>IF('EEM6'!A21=0," ",'EEM6'!A21)</f>
        <v xml:space="preserve"> </v>
      </c>
      <c r="D10" s="51" t="str">
        <f t="shared" si="0"/>
        <v xml:space="preserve"> </v>
      </c>
      <c r="E10" s="47" t="str">
        <f>IF($C10 = " "," ",'EEM6'!E$18)</f>
        <v xml:space="preserve"> </v>
      </c>
      <c r="F10" s="72" t="str">
        <f t="shared" si="1"/>
        <v xml:space="preserve"> </v>
      </c>
      <c r="G10" s="72" t="str">
        <f>IF($C10 = " "," ",'EEM6'!V$9)</f>
        <v xml:space="preserve"> </v>
      </c>
      <c r="H10" s="72" t="str">
        <f t="shared" si="2"/>
        <v xml:space="preserve"> </v>
      </c>
      <c r="I10" s="72" t="str">
        <f>IF($C10 = " "," ",'EEM6'!U$11)</f>
        <v xml:space="preserve"> </v>
      </c>
      <c r="J10" s="72" t="str">
        <f t="shared" si="3"/>
        <v xml:space="preserve"> </v>
      </c>
      <c r="K10" s="72" t="str">
        <f>IF($C10 = " "," ",'EEM6'!U$13)</f>
        <v xml:space="preserve"> </v>
      </c>
      <c r="L10" s="70" t="str">
        <f t="shared" si="4"/>
        <v xml:space="preserve"> </v>
      </c>
      <c r="M10" s="70" t="str">
        <f>IF($C10 = " "," ",'EEM6'!U$15)</f>
        <v xml:space="preserve"> </v>
      </c>
      <c r="N10" s="70" t="str">
        <f t="shared" si="5"/>
        <v xml:space="preserve"> </v>
      </c>
      <c r="O10" s="65" t="str">
        <f>IF($C10 = " "," ",'EEM6'!W$9)</f>
        <v xml:space="preserve"> </v>
      </c>
    </row>
    <row r="11" spans="2:15" x14ac:dyDescent="0.25">
      <c r="B11" s="9">
        <v>7</v>
      </c>
      <c r="C11" s="42" t="str">
        <f>IF('EEM7'!A21=0," ",'EEM7'!A21)</f>
        <v xml:space="preserve"> </v>
      </c>
      <c r="D11" s="51" t="str">
        <f t="shared" si="0"/>
        <v xml:space="preserve"> </v>
      </c>
      <c r="E11" s="47" t="str">
        <f>IF($C11 = " "," ",'EEM7'!E$18)</f>
        <v xml:space="preserve"> </v>
      </c>
      <c r="F11" s="72" t="str">
        <f t="shared" si="1"/>
        <v xml:space="preserve"> </v>
      </c>
      <c r="G11" s="72" t="str">
        <f>IF($C11 = " "," ",'EEM7'!V$9)</f>
        <v xml:space="preserve"> </v>
      </c>
      <c r="H11" s="72" t="str">
        <f t="shared" si="2"/>
        <v xml:space="preserve"> </v>
      </c>
      <c r="I11" s="72" t="str">
        <f>IF($C11 = " "," ",'EEM7'!U$11)</f>
        <v xml:space="preserve"> </v>
      </c>
      <c r="J11" s="72" t="str">
        <f t="shared" si="3"/>
        <v xml:space="preserve"> </v>
      </c>
      <c r="K11" s="72" t="str">
        <f>IF($C11 = " "," ",'EEM7'!U$13)</f>
        <v xml:space="preserve"> </v>
      </c>
      <c r="L11" s="70" t="str">
        <f t="shared" si="4"/>
        <v xml:space="preserve"> </v>
      </c>
      <c r="M11" s="70" t="str">
        <f>IF($C11 = " "," ",'EEM7'!U$15)</f>
        <v xml:space="preserve"> </v>
      </c>
      <c r="N11" s="70" t="str">
        <f t="shared" si="5"/>
        <v xml:space="preserve"> </v>
      </c>
      <c r="O11" s="65" t="str">
        <f>IF($C11 = " "," ",'EEM7'!W$9)</f>
        <v xml:space="preserve"> </v>
      </c>
    </row>
    <row r="12" spans="2:15" x14ac:dyDescent="0.25">
      <c r="B12" s="9">
        <v>8</v>
      </c>
      <c r="C12" s="42" t="str">
        <f>IF('EEM8'!A21=0," ",'EEM8'!A21)</f>
        <v xml:space="preserve"> </v>
      </c>
      <c r="D12" s="51" t="str">
        <f t="shared" si="0"/>
        <v xml:space="preserve"> </v>
      </c>
      <c r="E12" s="47" t="str">
        <f>IF($C12 = " "," ",'EEM8'!E$18)</f>
        <v xml:space="preserve"> </v>
      </c>
      <c r="F12" s="72" t="str">
        <f t="shared" si="1"/>
        <v xml:space="preserve"> </v>
      </c>
      <c r="G12" s="72" t="str">
        <f>IF($C12 = " "," ",'EEM8'!V$9)</f>
        <v xml:space="preserve"> </v>
      </c>
      <c r="H12" s="72" t="str">
        <f t="shared" si="2"/>
        <v xml:space="preserve"> </v>
      </c>
      <c r="I12" s="72" t="str">
        <f>IF($C12 = " "," ",'EEM8'!U$11)</f>
        <v xml:space="preserve"> </v>
      </c>
      <c r="J12" s="72" t="str">
        <f t="shared" si="3"/>
        <v xml:space="preserve"> </v>
      </c>
      <c r="K12" s="72" t="str">
        <f>IF($C12 = " "," ",'EEM8'!U$13)</f>
        <v xml:space="preserve"> </v>
      </c>
      <c r="L12" s="70" t="str">
        <f t="shared" si="4"/>
        <v xml:space="preserve"> </v>
      </c>
      <c r="M12" s="70" t="str">
        <f>IF($C12 = " "," ",'EEM8'!U$15)</f>
        <v xml:space="preserve"> </v>
      </c>
      <c r="N12" s="70" t="str">
        <f t="shared" si="5"/>
        <v xml:space="preserve"> </v>
      </c>
      <c r="O12" s="65" t="str">
        <f>IF($C12 = " "," ",'EEM8'!W$9)</f>
        <v xml:space="preserve"> </v>
      </c>
    </row>
    <row r="13" spans="2:15" x14ac:dyDescent="0.25">
      <c r="B13" s="9">
        <v>9</v>
      </c>
      <c r="C13" s="42" t="str">
        <f>IF('EEM9'!A21=0," ",'EEM9'!A21)</f>
        <v xml:space="preserve"> </v>
      </c>
      <c r="D13" s="51" t="str">
        <f t="shared" si="0"/>
        <v xml:space="preserve"> </v>
      </c>
      <c r="E13" s="47" t="str">
        <f>IF($C13 = " "," ",'EEM9'!E$18)</f>
        <v xml:space="preserve"> </v>
      </c>
      <c r="F13" s="72" t="str">
        <f t="shared" si="1"/>
        <v xml:space="preserve"> </v>
      </c>
      <c r="G13" s="72" t="str">
        <f>IF($C13 = " "," ",'EEM9'!V$9)</f>
        <v xml:space="preserve"> </v>
      </c>
      <c r="H13" s="72" t="str">
        <f t="shared" si="2"/>
        <v xml:space="preserve"> </v>
      </c>
      <c r="I13" s="72" t="str">
        <f>IF($C13 = " "," ",'EEM9'!U$11)</f>
        <v xml:space="preserve"> </v>
      </c>
      <c r="J13" s="72" t="str">
        <f t="shared" si="3"/>
        <v xml:space="preserve"> </v>
      </c>
      <c r="K13" s="72" t="str">
        <f>IF($C13 = " "," ",'EEM9'!U$13)</f>
        <v xml:space="preserve"> </v>
      </c>
      <c r="L13" s="70" t="str">
        <f t="shared" si="4"/>
        <v xml:space="preserve"> </v>
      </c>
      <c r="M13" s="70" t="str">
        <f>IF($C13 = " "," ",'EEM9'!U$15)</f>
        <v xml:space="preserve"> </v>
      </c>
      <c r="N13" s="70" t="str">
        <f t="shared" si="5"/>
        <v xml:space="preserve"> </v>
      </c>
      <c r="O13" s="65" t="str">
        <f>IF($C13 = " "," ",'EEM9'!W$9)</f>
        <v xml:space="preserve"> </v>
      </c>
    </row>
    <row r="14" spans="2:15" x14ac:dyDescent="0.25">
      <c r="B14" s="9">
        <v>10</v>
      </c>
      <c r="C14" s="42" t="str">
        <f>IF('EEM10'!A21=0," ",'EEM10'!A21)</f>
        <v xml:space="preserve"> </v>
      </c>
      <c r="D14" s="51" t="str">
        <f t="shared" si="0"/>
        <v xml:space="preserve"> </v>
      </c>
      <c r="E14" s="47" t="str">
        <f>IF($C14 = " "," ",'EEM10'!E$18)</f>
        <v xml:space="preserve"> </v>
      </c>
      <c r="F14" s="72" t="str">
        <f t="shared" si="1"/>
        <v xml:space="preserve"> </v>
      </c>
      <c r="G14" s="72" t="str">
        <f>IF($C14 = " "," ",'EEM10'!V$9)</f>
        <v xml:space="preserve"> </v>
      </c>
      <c r="H14" s="72" t="str">
        <f t="shared" si="2"/>
        <v xml:space="preserve"> </v>
      </c>
      <c r="I14" s="72" t="str">
        <f>IF($C14 = " "," ",'EEM10'!U$11)</f>
        <v xml:space="preserve"> </v>
      </c>
      <c r="J14" s="72" t="str">
        <f t="shared" si="3"/>
        <v xml:space="preserve"> </v>
      </c>
      <c r="K14" s="72" t="str">
        <f>IF($C14 = " "," ",'EEM10'!U$13)</f>
        <v xml:space="preserve"> </v>
      </c>
      <c r="L14" s="70" t="str">
        <f t="shared" si="4"/>
        <v xml:space="preserve"> </v>
      </c>
      <c r="M14" s="70" t="str">
        <f>IF($C14 = " "," ",'EEM10'!U$15)</f>
        <v xml:space="preserve"> </v>
      </c>
      <c r="N14" s="70" t="str">
        <f t="shared" si="5"/>
        <v xml:space="preserve"> </v>
      </c>
      <c r="O14" s="65" t="str">
        <f>IF($C14 = " "," ",'EEM10'!W$9)</f>
        <v xml:space="preserve"> </v>
      </c>
    </row>
    <row r="15" spans="2:15" x14ac:dyDescent="0.25">
      <c r="B15" s="9">
        <v>11</v>
      </c>
      <c r="C15" s="42" t="str">
        <f>IF('EEM11'!A21=0," ",'EEM11'!A21)</f>
        <v xml:space="preserve"> </v>
      </c>
      <c r="D15" s="51" t="str">
        <f t="shared" si="0"/>
        <v xml:space="preserve"> </v>
      </c>
      <c r="E15" s="47" t="str">
        <f>IF($C15 = " "," ",'EEM11'!E$18)</f>
        <v xml:space="preserve"> </v>
      </c>
      <c r="F15" s="72" t="str">
        <f t="shared" si="1"/>
        <v xml:space="preserve"> </v>
      </c>
      <c r="G15" s="72" t="str">
        <f>IF($C15 = " "," ",'EEM11'!V$9)</f>
        <v xml:space="preserve"> </v>
      </c>
      <c r="H15" s="72" t="str">
        <f t="shared" si="2"/>
        <v xml:space="preserve"> </v>
      </c>
      <c r="I15" s="72" t="str">
        <f>IF($C15 = " "," ",'EEM11'!U$11)</f>
        <v xml:space="preserve"> </v>
      </c>
      <c r="J15" s="72" t="str">
        <f t="shared" si="3"/>
        <v xml:space="preserve"> </v>
      </c>
      <c r="K15" s="72" t="str">
        <f>IF($C15 = " "," ",'EEM11'!U$13)</f>
        <v xml:space="preserve"> </v>
      </c>
      <c r="L15" s="70" t="str">
        <f t="shared" si="4"/>
        <v xml:space="preserve"> </v>
      </c>
      <c r="M15" s="70" t="str">
        <f>IF($C15 = " "," ",'EEM11'!U$15)</f>
        <v xml:space="preserve"> </v>
      </c>
      <c r="N15" s="70" t="str">
        <f t="shared" si="5"/>
        <v xml:space="preserve"> </v>
      </c>
      <c r="O15" s="65" t="str">
        <f>IF($C15 = " "," ",'EEM11'!W$9)</f>
        <v xml:space="preserve"> </v>
      </c>
    </row>
    <row r="16" spans="2:15" x14ac:dyDescent="0.25">
      <c r="B16" s="9">
        <v>12</v>
      </c>
      <c r="C16" s="42" t="str">
        <f>IF('EEM12'!A21=0," ",'EEM12'!A21)</f>
        <v xml:space="preserve"> </v>
      </c>
      <c r="D16" s="51" t="str">
        <f t="shared" si="0"/>
        <v xml:space="preserve"> </v>
      </c>
      <c r="E16" s="47" t="str">
        <f>IF($C16 = " "," ",'EEM12'!E$18)</f>
        <v xml:space="preserve"> </v>
      </c>
      <c r="F16" s="72" t="str">
        <f t="shared" si="1"/>
        <v xml:space="preserve"> </v>
      </c>
      <c r="G16" s="72" t="str">
        <f>IF($C16 = " "," ",'EEM12'!V$9)</f>
        <v xml:space="preserve"> </v>
      </c>
      <c r="H16" s="72" t="str">
        <f t="shared" si="2"/>
        <v xml:space="preserve"> </v>
      </c>
      <c r="I16" s="72" t="str">
        <f>IF($C16 = " "," ",'EEM12'!U$11)</f>
        <v xml:space="preserve"> </v>
      </c>
      <c r="J16" s="72" t="str">
        <f t="shared" si="3"/>
        <v xml:space="preserve"> </v>
      </c>
      <c r="K16" s="72" t="str">
        <f>IF($C16 = " "," ",'EEM12'!U$13)</f>
        <v xml:space="preserve"> </v>
      </c>
      <c r="L16" s="70" t="str">
        <f t="shared" si="4"/>
        <v xml:space="preserve"> </v>
      </c>
      <c r="M16" s="70" t="str">
        <f>IF($C16 = " "," ",'EEM12'!U$15)</f>
        <v xml:space="preserve"> </v>
      </c>
      <c r="N16" s="70" t="str">
        <f t="shared" si="5"/>
        <v xml:space="preserve"> </v>
      </c>
      <c r="O16" s="65" t="str">
        <f>IF($C16 = " "," ",'EEM12'!W$9)</f>
        <v xml:space="preserve"> </v>
      </c>
    </row>
    <row r="17" spans="2:15" x14ac:dyDescent="0.25">
      <c r="B17" s="9">
        <v>13</v>
      </c>
      <c r="C17" s="42" t="str">
        <f>IF('EEM13'!A21=0," ",'EEM13'!A21)</f>
        <v xml:space="preserve"> </v>
      </c>
      <c r="D17" s="51" t="str">
        <f t="shared" si="0"/>
        <v xml:space="preserve"> </v>
      </c>
      <c r="E17" s="47" t="str">
        <f>IF($C17 = " "," ",'EEM13'!E$18)</f>
        <v xml:space="preserve"> </v>
      </c>
      <c r="F17" s="72" t="str">
        <f t="shared" si="1"/>
        <v xml:space="preserve"> </v>
      </c>
      <c r="G17" s="72" t="str">
        <f>IF($C17 = " "," ",'EEM13'!V$9)</f>
        <v xml:space="preserve"> </v>
      </c>
      <c r="H17" s="72" t="str">
        <f t="shared" si="2"/>
        <v xml:space="preserve"> </v>
      </c>
      <c r="I17" s="72" t="str">
        <f>IF($C17 = " "," ",'EEM13'!U$11)</f>
        <v xml:space="preserve"> </v>
      </c>
      <c r="J17" s="72" t="str">
        <f t="shared" si="3"/>
        <v xml:space="preserve"> </v>
      </c>
      <c r="K17" s="72" t="str">
        <f>IF($C17 = " "," ",'EEM13'!U$13)</f>
        <v xml:space="preserve"> </v>
      </c>
      <c r="L17" s="70" t="str">
        <f t="shared" si="4"/>
        <v xml:space="preserve"> </v>
      </c>
      <c r="M17" s="70" t="str">
        <f>IF($C17 = " "," ",'EEM13'!U$15)</f>
        <v xml:space="preserve"> </v>
      </c>
      <c r="N17" s="70" t="str">
        <f t="shared" si="5"/>
        <v xml:space="preserve"> </v>
      </c>
      <c r="O17" s="65" t="str">
        <f>IF($C17 = " "," ",'EEM13'!W$9)</f>
        <v xml:space="preserve"> </v>
      </c>
    </row>
    <row r="18" spans="2:15" x14ac:dyDescent="0.25">
      <c r="B18" s="9">
        <v>14</v>
      </c>
      <c r="C18" s="42" t="str">
        <f>IF('EEM14'!A21=0," ",'EEM14'!A21)</f>
        <v xml:space="preserve"> </v>
      </c>
      <c r="D18" s="51" t="str">
        <f t="shared" si="0"/>
        <v xml:space="preserve"> </v>
      </c>
      <c r="E18" s="47" t="str">
        <f>IF($C18 = " "," ",'EEM14'!E$18)</f>
        <v xml:space="preserve"> </v>
      </c>
      <c r="F18" s="72" t="str">
        <f t="shared" si="1"/>
        <v xml:space="preserve"> </v>
      </c>
      <c r="G18" s="72" t="str">
        <f>IF($C18 = " "," ",'EEM14'!V$9)</f>
        <v xml:space="preserve"> </v>
      </c>
      <c r="H18" s="72" t="str">
        <f t="shared" si="2"/>
        <v xml:space="preserve"> </v>
      </c>
      <c r="I18" s="72" t="str">
        <f>IF($C18 = " "," ",'EEM14'!U$11)</f>
        <v xml:space="preserve"> </v>
      </c>
      <c r="J18" s="72" t="str">
        <f t="shared" si="3"/>
        <v xml:space="preserve"> </v>
      </c>
      <c r="K18" s="72" t="str">
        <f>IF($C18 = " "," ",'EEM14'!U$13)</f>
        <v xml:space="preserve"> </v>
      </c>
      <c r="L18" s="70" t="str">
        <f t="shared" si="4"/>
        <v xml:space="preserve"> </v>
      </c>
      <c r="M18" s="70" t="str">
        <f>IF($C18 = " "," ",'EEM14'!U$15)</f>
        <v xml:space="preserve"> </v>
      </c>
      <c r="N18" s="70" t="str">
        <f t="shared" si="5"/>
        <v xml:space="preserve"> </v>
      </c>
      <c r="O18" s="65" t="str">
        <f>IF($C18 = " "," ",'EEM14'!W$9)</f>
        <v xml:space="preserve"> </v>
      </c>
    </row>
    <row r="19" spans="2:15" ht="15.75" thickBot="1" x14ac:dyDescent="0.3">
      <c r="B19" s="10">
        <v>15</v>
      </c>
      <c r="C19" s="43" t="str">
        <f>IF('EEM15'!A21=0," ",'EEM15'!A21)</f>
        <v xml:space="preserve"> </v>
      </c>
      <c r="D19" s="52" t="str">
        <f t="shared" si="0"/>
        <v xml:space="preserve"> </v>
      </c>
      <c r="E19" s="48" t="str">
        <f>IF($C19 = " "," ",'EEM15'!E$18)</f>
        <v xml:space="preserve"> </v>
      </c>
      <c r="F19" s="73" t="str">
        <f t="shared" si="1"/>
        <v xml:space="preserve"> </v>
      </c>
      <c r="G19" s="73" t="str">
        <f>IF($C19 = " "," ",'EEM15'!V$9)</f>
        <v xml:space="preserve"> </v>
      </c>
      <c r="H19" s="73" t="str">
        <f t="shared" si="2"/>
        <v xml:space="preserve"> </v>
      </c>
      <c r="I19" s="73" t="str">
        <f>IF($C19 = " "," ",'EEM15'!U$11)</f>
        <v xml:space="preserve"> </v>
      </c>
      <c r="J19" s="73" t="str">
        <f t="shared" si="3"/>
        <v xml:space="preserve"> </v>
      </c>
      <c r="K19" s="73" t="str">
        <f>IF($C19 = " "," ",'EEM15'!U$13)</f>
        <v xml:space="preserve"> </v>
      </c>
      <c r="L19" s="76" t="str">
        <f t="shared" si="4"/>
        <v xml:space="preserve"> </v>
      </c>
      <c r="M19" s="76" t="str">
        <f>IF($C19 = " "," ",'EEM15'!U$15)</f>
        <v xml:space="preserve"> </v>
      </c>
      <c r="N19" s="76" t="str">
        <f t="shared" si="5"/>
        <v xml:space="preserve"> </v>
      </c>
      <c r="O19" s="77" t="str">
        <f>IF($C19 = " "," ",'EEM15'!W$9)</f>
        <v xml:space="preserve"> </v>
      </c>
    </row>
    <row r="21" spans="2:15" ht="15.75" thickBot="1" x14ac:dyDescent="0.3"/>
    <row r="22" spans="2:15" ht="27" thickBot="1" x14ac:dyDescent="0.45">
      <c r="C22" s="118" t="s">
        <v>101</v>
      </c>
      <c r="D22" s="123"/>
      <c r="E22" s="123"/>
      <c r="F22" s="123"/>
      <c r="G22" s="124"/>
      <c r="I22" s="118" t="s">
        <v>134</v>
      </c>
      <c r="J22" s="123"/>
      <c r="K22" s="123"/>
      <c r="L22" s="123"/>
      <c r="M22" s="123"/>
      <c r="N22" s="120"/>
    </row>
    <row r="23" spans="2:15" ht="45.75" thickBot="1" x14ac:dyDescent="0.3">
      <c r="C23" s="53" t="s">
        <v>98</v>
      </c>
      <c r="D23" s="121" t="s">
        <v>99</v>
      </c>
      <c r="E23" s="121"/>
      <c r="F23" s="121" t="s">
        <v>100</v>
      </c>
      <c r="G23" s="122"/>
      <c r="I23" s="145" t="s">
        <v>135</v>
      </c>
      <c r="J23" s="146"/>
      <c r="K23" s="78" t="s">
        <v>150</v>
      </c>
      <c r="L23" s="79" t="s">
        <v>151</v>
      </c>
      <c r="M23" s="80" t="s">
        <v>152</v>
      </c>
      <c r="N23" s="82" t="s">
        <v>165</v>
      </c>
    </row>
    <row r="24" spans="2:15" x14ac:dyDescent="0.25">
      <c r="C24" s="54" t="s">
        <v>102</v>
      </c>
      <c r="D24" s="127">
        <f>'Existing Building Baseline'!F18</f>
        <v>310994</v>
      </c>
      <c r="E24" s="127"/>
      <c r="F24" s="127">
        <f>'Proposed Design'!F18</f>
        <v>269475.1936</v>
      </c>
      <c r="G24" s="128"/>
      <c r="I24" s="147" t="s">
        <v>136</v>
      </c>
      <c r="J24" s="148"/>
      <c r="K24" s="61" t="s">
        <v>21</v>
      </c>
      <c r="L24" s="64">
        <f>VLOOKUP($K24,'Calcs and References'!$A$2:$E$9,4)*'Existing Building Baseline'!$C5</f>
        <v>848.04303917999994</v>
      </c>
      <c r="M24" s="81">
        <f>VLOOKUP($K24,'Calcs and References'!$A$2:$E$9,4)*'Proposed Design'!C5</f>
        <v>848.04303917999994</v>
      </c>
      <c r="N24" s="83">
        <f>(L24-M24)/(L$44-M$44)</f>
        <v>0</v>
      </c>
    </row>
    <row r="25" spans="2:15" x14ac:dyDescent="0.25">
      <c r="C25" s="55" t="s">
        <v>103</v>
      </c>
      <c r="D25" s="141"/>
      <c r="E25" s="141"/>
      <c r="F25" s="129">
        <f>D24-F24</f>
        <v>41518.806400000001</v>
      </c>
      <c r="G25" s="130"/>
      <c r="I25" s="147" t="s">
        <v>137</v>
      </c>
      <c r="J25" s="148"/>
      <c r="K25" s="61" t="s">
        <v>21</v>
      </c>
      <c r="L25" s="64">
        <f>VLOOKUP($K25,'Calcs and References'!$A$2:$E$9,4)*'Existing Building Baseline'!$N5</f>
        <v>0</v>
      </c>
      <c r="M25" s="81">
        <f>VLOOKUP($K25,'Calcs and References'!$A$2:$E$9,4)*'Proposed Design'!$N5</f>
        <v>0</v>
      </c>
      <c r="N25" s="83">
        <f t="shared" ref="N25:N36" si="6">(L25-M25)/(L$44-M$44)</f>
        <v>0</v>
      </c>
    </row>
    <row r="26" spans="2:15" ht="15.75" thickBot="1" x14ac:dyDescent="0.3">
      <c r="C26" s="56" t="s">
        <v>104</v>
      </c>
      <c r="D26" s="142"/>
      <c r="E26" s="142"/>
      <c r="F26" s="131">
        <f>F25/D24</f>
        <v>0.13350356084040207</v>
      </c>
      <c r="G26" s="132"/>
      <c r="I26" s="147" t="s">
        <v>138</v>
      </c>
      <c r="J26" s="148"/>
      <c r="K26" s="61" t="s">
        <v>21</v>
      </c>
      <c r="L26" s="64">
        <f>VLOOKUP($K26,'Calcs and References'!$A$2:$E$9,4)*'Existing Building Baseline'!$I5</f>
        <v>168.25262339999998</v>
      </c>
      <c r="M26" s="81">
        <f>VLOOKUP($K26,'Calcs and References'!$A$2:$E$9,4)*'Proposed Design'!$I5</f>
        <v>168.25262339999998</v>
      </c>
      <c r="N26" s="83">
        <f t="shared" si="6"/>
        <v>0</v>
      </c>
    </row>
    <row r="27" spans="2:15" x14ac:dyDescent="0.25">
      <c r="C27" s="54" t="s">
        <v>105</v>
      </c>
      <c r="D27" s="133">
        <f>'Existing Building Baseline'!T11</f>
        <v>899055</v>
      </c>
      <c r="E27" s="133"/>
      <c r="F27" s="133">
        <f>'Proposed Design'!T11</f>
        <v>913628</v>
      </c>
      <c r="G27" s="134"/>
      <c r="I27" s="147" t="s">
        <v>139</v>
      </c>
      <c r="J27" s="148"/>
      <c r="K27" s="61" t="s">
        <v>21</v>
      </c>
      <c r="L27" s="64">
        <f>VLOOKUP($K27,'Calcs and References'!$A$2:$E$9,4)*'Existing Building Baseline'!$J5</f>
        <v>581.29217039999992</v>
      </c>
      <c r="M27" s="81">
        <f>VLOOKUP($K27,'Calcs and References'!$A$2:$E$9,4)*'Proposed Design'!$J5</f>
        <v>605.59684361999996</v>
      </c>
      <c r="N27" s="83">
        <f t="shared" si="6"/>
        <v>-0.12247711463280042</v>
      </c>
    </row>
    <row r="28" spans="2:15" x14ac:dyDescent="0.25">
      <c r="C28" s="55" t="s">
        <v>106</v>
      </c>
      <c r="D28" s="143"/>
      <c r="E28" s="143"/>
      <c r="F28" s="135">
        <f>D27-F27</f>
        <v>-14573</v>
      </c>
      <c r="G28" s="136"/>
      <c r="I28" s="147" t="s">
        <v>143</v>
      </c>
      <c r="J28" s="148"/>
      <c r="K28" s="61" t="s">
        <v>21</v>
      </c>
      <c r="L28" s="64">
        <f>VLOOKUP($K28,'Calcs and References'!$A$2:$E$9,4)*'Existing Building Baseline'!$G5</f>
        <v>649.93419077999999</v>
      </c>
      <c r="M28" s="81">
        <f>VLOOKUP($K28,'Calcs and References'!$A$2:$E$9,4)*'Proposed Design'!$G5</f>
        <v>676.44310643999995</v>
      </c>
      <c r="N28" s="83">
        <f t="shared" si="6"/>
        <v>-0.1335848243131017</v>
      </c>
    </row>
    <row r="29" spans="2:15" ht="15.75" thickBot="1" x14ac:dyDescent="0.3">
      <c r="C29" s="56" t="s">
        <v>107</v>
      </c>
      <c r="D29" s="142"/>
      <c r="E29" s="142"/>
      <c r="F29" s="137">
        <f>F28/D27</f>
        <v>-1.6209241926244778E-2</v>
      </c>
      <c r="G29" s="138"/>
      <c r="I29" s="147" t="s">
        <v>140</v>
      </c>
      <c r="J29" s="148"/>
      <c r="K29" s="61" t="s">
        <v>22</v>
      </c>
      <c r="L29" s="64">
        <f>VLOOKUP($K29,'Calcs and References'!$A$2:$E$9,4)*'Existing Building Baseline'!F6</f>
        <v>0</v>
      </c>
      <c r="M29" s="81">
        <f>VLOOKUP($K29,'Calcs and References'!$A$2:$E$9,4)*'Proposed Design'!$F6</f>
        <v>283.13231520000005</v>
      </c>
      <c r="N29" s="83">
        <f t="shared" si="6"/>
        <v>-1.4267720742883754</v>
      </c>
    </row>
    <row r="30" spans="2:15" x14ac:dyDescent="0.25">
      <c r="C30" s="54" t="s">
        <v>108</v>
      </c>
      <c r="D30" s="139">
        <f>'Existing Building Baseline'!U13</f>
        <v>531.30000000000007</v>
      </c>
      <c r="E30" s="139"/>
      <c r="F30" s="139">
        <f>'Proposed Design'!U13</f>
        <v>283.13231520000005</v>
      </c>
      <c r="G30" s="140"/>
      <c r="I30" s="147" t="s">
        <v>140</v>
      </c>
      <c r="J30" s="148"/>
      <c r="K30" s="61" t="s">
        <v>21</v>
      </c>
      <c r="L30" s="64">
        <f>VLOOKUP($K30,'Calcs and References'!$A$2:$E$9,4)*'Existing Building Baseline'!$F5</f>
        <v>194.63870201999998</v>
      </c>
      <c r="M30" s="81">
        <f>VLOOKUP($K30,'Calcs and References'!$A$2:$E$9,4)*'Proposed Design'!$F5</f>
        <v>193.55022935999997</v>
      </c>
      <c r="N30" s="83">
        <f t="shared" si="6"/>
        <v>5.4850764520375621E-3</v>
      </c>
    </row>
    <row r="31" spans="2:15" x14ac:dyDescent="0.25">
      <c r="C31" s="55" t="s">
        <v>109</v>
      </c>
      <c r="D31" s="143"/>
      <c r="E31" s="143"/>
      <c r="F31" s="125">
        <f>D30-F30</f>
        <v>248.16768480000002</v>
      </c>
      <c r="G31" s="126"/>
      <c r="I31" s="147" t="s">
        <v>141</v>
      </c>
      <c r="J31" s="148"/>
      <c r="K31" s="61" t="s">
        <v>22</v>
      </c>
      <c r="L31" s="64">
        <f>VLOOKUP($K31,'Calcs and References'!$A$2:$E$9,4)*'Existing Building Baseline'!$M6</f>
        <v>0</v>
      </c>
      <c r="M31" s="81">
        <f>VLOOKUP($K31,'Calcs and References'!$A$2:$E$9,4)*'Proposed Design'!$M6</f>
        <v>0</v>
      </c>
      <c r="N31" s="83">
        <f t="shared" si="6"/>
        <v>0</v>
      </c>
    </row>
    <row r="32" spans="2:15" ht="15.75" thickBot="1" x14ac:dyDescent="0.3">
      <c r="C32" s="56" t="s">
        <v>110</v>
      </c>
      <c r="D32" s="142"/>
      <c r="E32" s="142"/>
      <c r="F32" s="137">
        <f>F31/D30</f>
        <v>0.46709520948616601</v>
      </c>
      <c r="G32" s="138"/>
      <c r="I32" s="147" t="s">
        <v>141</v>
      </c>
      <c r="J32" s="148"/>
      <c r="K32" s="61" t="s">
        <v>21</v>
      </c>
      <c r="L32" s="64">
        <f>VLOOKUP($K32,'Calcs and References'!$A$2:$E$9,4)*'Existing Building Baseline'!$M5</f>
        <v>19.213760339999997</v>
      </c>
      <c r="M32" s="81">
        <f>VLOOKUP($K32,'Calcs and References'!$A$2:$E$9,4)*'Proposed Design'!$M5</f>
        <v>19.213760339999997</v>
      </c>
      <c r="N32" s="83">
        <f t="shared" si="6"/>
        <v>0</v>
      </c>
    </row>
    <row r="33" spans="3:14" x14ac:dyDescent="0.25">
      <c r="C33" s="54" t="s">
        <v>120</v>
      </c>
      <c r="D33" s="139">
        <f>'Existing Building Baseline'!U15</f>
        <v>0</v>
      </c>
      <c r="E33" s="139"/>
      <c r="F33" s="139">
        <f>'Proposed Design'!U15</f>
        <v>0</v>
      </c>
      <c r="G33" s="140"/>
      <c r="I33" s="147" t="s">
        <v>142</v>
      </c>
      <c r="J33" s="148"/>
      <c r="K33" s="61" t="s">
        <v>22</v>
      </c>
      <c r="L33" s="64">
        <f>VLOOKUP($K33,'Calcs and References'!$A$2:$E$9,4)*'Existing Building Baseline'!$E6</f>
        <v>0</v>
      </c>
      <c r="M33" s="81">
        <f>VLOOKUP($K33,'Calcs and References'!$A$2:$E$9,4)*'Proposed Design'!$E6</f>
        <v>0</v>
      </c>
      <c r="N33" s="83">
        <f t="shared" si="6"/>
        <v>0</v>
      </c>
    </row>
    <row r="34" spans="3:14" x14ac:dyDescent="0.25">
      <c r="C34" s="55" t="s">
        <v>122</v>
      </c>
      <c r="D34" s="143"/>
      <c r="E34" s="143"/>
      <c r="F34" s="125">
        <f>D33-F33</f>
        <v>0</v>
      </c>
      <c r="G34" s="126"/>
      <c r="I34" s="147" t="s">
        <v>142</v>
      </c>
      <c r="J34" s="148"/>
      <c r="K34" s="61" t="s">
        <v>21</v>
      </c>
      <c r="L34" s="64">
        <f>VLOOKUP($K34,'Calcs and References'!$A$2:$E$9,4)*'Existing Building Baseline'!$E5</f>
        <v>606.3270415799999</v>
      </c>
      <c r="M34" s="81">
        <f>VLOOKUP($K34,'Calcs and References'!$A$2:$E$9,4)*'Proposed Design'!$E5</f>
        <v>606.3270415799999</v>
      </c>
      <c r="N34" s="83">
        <f t="shared" si="6"/>
        <v>0</v>
      </c>
    </row>
    <row r="35" spans="3:14" ht="15.75" thickBot="1" x14ac:dyDescent="0.3">
      <c r="C35" s="56" t="s">
        <v>121</v>
      </c>
      <c r="D35" s="142"/>
      <c r="E35" s="142"/>
      <c r="F35" s="137" t="e">
        <f>F34/D33</f>
        <v>#DIV/0!</v>
      </c>
      <c r="G35" s="138"/>
      <c r="I35" s="147" t="s">
        <v>144</v>
      </c>
      <c r="J35" s="148"/>
      <c r="K35" s="61" t="s">
        <v>21</v>
      </c>
      <c r="L35" s="64">
        <f>VLOOKUP($K35,'Calcs and References'!$A$2:$E$9,4)*'Existing Building Baseline'!$L5</f>
        <v>0</v>
      </c>
      <c r="M35" s="81">
        <f>VLOOKUP($K35,'Calcs and References'!$A$2:$E$9,4)*'Proposed Design'!$L5</f>
        <v>0</v>
      </c>
      <c r="N35" s="83">
        <f t="shared" si="6"/>
        <v>0</v>
      </c>
    </row>
    <row r="36" spans="3:14" x14ac:dyDescent="0.25">
      <c r="C36" s="54" t="s">
        <v>111</v>
      </c>
      <c r="D36" s="139">
        <f>'Existing Building Baseline'!U11+'Existing Building Baseline'!U13+'Existing Building Baseline'!U15</f>
        <v>3599.0015276999998</v>
      </c>
      <c r="E36" s="139"/>
      <c r="F36" s="139">
        <f>'Proposed Design'!U11+'Proposed Design'!U13+'Proposed Design'!U15</f>
        <v>3400.5589591199996</v>
      </c>
      <c r="G36" s="140"/>
      <c r="I36" s="150" t="s">
        <v>157</v>
      </c>
      <c r="J36" s="151"/>
      <c r="K36" s="62" t="s">
        <v>132</v>
      </c>
      <c r="L36" s="66">
        <f>VLOOKUP($K36,'Calcs and References'!$A$2:$E$9,4)*'Existing Building Baseline'!F7</f>
        <v>531.30000000000007</v>
      </c>
      <c r="M36" s="81">
        <f>VLOOKUP($K36,'Calcs and References'!$A$2:$E$9,4)*'Proposed Design'!F7</f>
        <v>0</v>
      </c>
      <c r="N36" s="83">
        <f t="shared" si="6"/>
        <v>2.6773489367822392</v>
      </c>
    </row>
    <row r="37" spans="3:14" x14ac:dyDescent="0.25">
      <c r="C37" s="55" t="s">
        <v>112</v>
      </c>
      <c r="D37" s="144"/>
      <c r="E37" s="144"/>
      <c r="F37" s="125">
        <f>D36-F36</f>
        <v>198.44256858000017</v>
      </c>
      <c r="G37" s="126"/>
      <c r="I37" s="150"/>
      <c r="J37" s="151"/>
      <c r="K37" s="62"/>
      <c r="L37" s="66"/>
      <c r="M37" s="81"/>
      <c r="N37" s="83" t="str">
        <f>IF(ISBLANK(M37)," ",(L37-M37)/(L$44-M$44))</f>
        <v xml:space="preserve"> </v>
      </c>
    </row>
    <row r="38" spans="3:14" ht="15.75" thickBot="1" x14ac:dyDescent="0.3">
      <c r="C38" s="56" t="s">
        <v>113</v>
      </c>
      <c r="D38" s="149"/>
      <c r="E38" s="149"/>
      <c r="F38" s="137">
        <f>F37/D36</f>
        <v>5.513822849272812E-2</v>
      </c>
      <c r="G38" s="138"/>
      <c r="I38" s="150"/>
      <c r="J38" s="151"/>
      <c r="K38" s="62"/>
      <c r="L38" s="66"/>
      <c r="M38" s="81"/>
      <c r="N38" s="83" t="str">
        <f t="shared" ref="N38:N43" si="7">IF(ISBLANK(M38)," ",(L38-M38)/(L$44-M$44))</f>
        <v xml:space="preserve"> </v>
      </c>
    </row>
    <row r="39" spans="3:14" x14ac:dyDescent="0.25">
      <c r="C39" s="54" t="s">
        <v>114</v>
      </c>
      <c r="D39" s="139">
        <f>'Existing Building Baseline'!V11+'Existing Building Baseline'!V13+'Existing Building Baseline'!V15</f>
        <v>8380.5038956349981</v>
      </c>
      <c r="E39" s="139"/>
      <c r="F39" s="139">
        <f>'Proposed Design'!V11+'Proposed Design'!V13+'Proposed Design'!V15</f>
        <v>8246.7268729559983</v>
      </c>
      <c r="G39" s="140"/>
      <c r="I39" s="150"/>
      <c r="J39" s="151"/>
      <c r="K39" s="62"/>
      <c r="L39" s="66"/>
      <c r="M39" s="81"/>
      <c r="N39" s="83" t="str">
        <f t="shared" si="7"/>
        <v xml:space="preserve"> </v>
      </c>
    </row>
    <row r="40" spans="3:14" x14ac:dyDescent="0.25">
      <c r="C40" s="55" t="s">
        <v>115</v>
      </c>
      <c r="D40" s="144"/>
      <c r="E40" s="144"/>
      <c r="F40" s="125">
        <f>D39-F39</f>
        <v>133.77702267899986</v>
      </c>
      <c r="G40" s="126"/>
      <c r="I40" s="150"/>
      <c r="J40" s="151"/>
      <c r="K40" s="62"/>
      <c r="L40" s="66"/>
      <c r="M40" s="81"/>
      <c r="N40" s="83" t="str">
        <f t="shared" si="7"/>
        <v xml:space="preserve"> </v>
      </c>
    </row>
    <row r="41" spans="3:14" ht="15.75" thickBot="1" x14ac:dyDescent="0.3">
      <c r="C41" s="56" t="s">
        <v>116</v>
      </c>
      <c r="D41" s="149"/>
      <c r="E41" s="149"/>
      <c r="F41" s="137">
        <f>F40/D39</f>
        <v>1.5962885328253098E-2</v>
      </c>
      <c r="G41" s="138"/>
      <c r="I41" s="150"/>
      <c r="J41" s="151"/>
      <c r="K41" s="62"/>
      <c r="L41" s="66"/>
      <c r="M41" s="81"/>
      <c r="N41" s="83" t="str">
        <f t="shared" si="7"/>
        <v xml:space="preserve"> </v>
      </c>
    </row>
    <row r="42" spans="3:14" x14ac:dyDescent="0.25">
      <c r="C42" s="54" t="s">
        <v>117</v>
      </c>
      <c r="D42" s="139">
        <f>'Existing Building Baseline'!W9</f>
        <v>273.51756259406403</v>
      </c>
      <c r="E42" s="139"/>
      <c r="F42" s="139">
        <f>'Proposed Design'!W9</f>
        <v>252.07861722397439</v>
      </c>
      <c r="G42" s="140"/>
      <c r="I42" s="150"/>
      <c r="J42" s="151"/>
      <c r="K42" s="62"/>
      <c r="L42" s="66"/>
      <c r="M42" s="81"/>
      <c r="N42" s="83" t="str">
        <f t="shared" si="7"/>
        <v xml:space="preserve"> </v>
      </c>
    </row>
    <row r="43" spans="3:14" ht="15.75" thickBot="1" x14ac:dyDescent="0.3">
      <c r="C43" s="55" t="s">
        <v>118</v>
      </c>
      <c r="D43" s="144"/>
      <c r="E43" s="144"/>
      <c r="F43" s="125">
        <f>D42-F42</f>
        <v>21.438945370089641</v>
      </c>
      <c r="G43" s="126"/>
      <c r="I43" s="152"/>
      <c r="J43" s="153"/>
      <c r="K43" s="63"/>
      <c r="L43" s="67"/>
      <c r="M43" s="81"/>
      <c r="N43" s="84" t="str">
        <f t="shared" si="7"/>
        <v xml:space="preserve"> </v>
      </c>
    </row>
    <row r="44" spans="3:14" ht="15.75" thickBot="1" x14ac:dyDescent="0.3">
      <c r="C44" s="56" t="s">
        <v>119</v>
      </c>
      <c r="D44" s="142"/>
      <c r="E44" s="142"/>
      <c r="F44" s="137">
        <f>F43/D42</f>
        <v>7.8382335550086238E-2</v>
      </c>
      <c r="G44" s="138"/>
      <c r="I44" s="154" t="s">
        <v>14</v>
      </c>
      <c r="J44" s="155"/>
      <c r="K44" s="7" t="s">
        <v>149</v>
      </c>
      <c r="L44" s="68">
        <f>SUM(L24:L43)</f>
        <v>3599.0015276999998</v>
      </c>
      <c r="M44" s="69">
        <f>SUM(M24:M43)</f>
        <v>3400.5589591199996</v>
      </c>
      <c r="N44" s="85"/>
    </row>
  </sheetData>
  <mergeCells count="69">
    <mergeCell ref="I22:N22"/>
    <mergeCell ref="I42:J42"/>
    <mergeCell ref="I43:J43"/>
    <mergeCell ref="I44:J44"/>
    <mergeCell ref="I36:J36"/>
    <mergeCell ref="I37:J37"/>
    <mergeCell ref="I38:J38"/>
    <mergeCell ref="I39:J39"/>
    <mergeCell ref="I40:J40"/>
    <mergeCell ref="I41:J41"/>
    <mergeCell ref="I30:J30"/>
    <mergeCell ref="I31:J31"/>
    <mergeCell ref="I32:J32"/>
    <mergeCell ref="I33:J33"/>
    <mergeCell ref="I34:J34"/>
    <mergeCell ref="I35:J35"/>
    <mergeCell ref="D43:E43"/>
    <mergeCell ref="D44:E44"/>
    <mergeCell ref="I23:J23"/>
    <mergeCell ref="I24:J24"/>
    <mergeCell ref="I25:J25"/>
    <mergeCell ref="I26:J26"/>
    <mergeCell ref="I27:J27"/>
    <mergeCell ref="I28:J28"/>
    <mergeCell ref="I29:J29"/>
    <mergeCell ref="D37:E37"/>
    <mergeCell ref="D38:E38"/>
    <mergeCell ref="D39:E39"/>
    <mergeCell ref="D40:E40"/>
    <mergeCell ref="D41:E41"/>
    <mergeCell ref="D42:E42"/>
    <mergeCell ref="D31:E31"/>
    <mergeCell ref="D32:E32"/>
    <mergeCell ref="D33:E33"/>
    <mergeCell ref="D34:E34"/>
    <mergeCell ref="D35:E35"/>
    <mergeCell ref="D36:E36"/>
    <mergeCell ref="F41:G41"/>
    <mergeCell ref="F42:G42"/>
    <mergeCell ref="F43:G43"/>
    <mergeCell ref="F44:G44"/>
    <mergeCell ref="D25:E25"/>
    <mergeCell ref="D26:E26"/>
    <mergeCell ref="D27:E27"/>
    <mergeCell ref="D28:E28"/>
    <mergeCell ref="D29:E29"/>
    <mergeCell ref="D30:E30"/>
    <mergeCell ref="F35:G35"/>
    <mergeCell ref="F36:G36"/>
    <mergeCell ref="F37:G37"/>
    <mergeCell ref="F38:G38"/>
    <mergeCell ref="F39:G39"/>
    <mergeCell ref="F40:G40"/>
    <mergeCell ref="C2:O2"/>
    <mergeCell ref="D23:E23"/>
    <mergeCell ref="F23:G23"/>
    <mergeCell ref="C22:G22"/>
    <mergeCell ref="F34:G34"/>
    <mergeCell ref="D24:E24"/>
    <mergeCell ref="F24:G24"/>
    <mergeCell ref="F25:G25"/>
    <mergeCell ref="F26:G26"/>
    <mergeCell ref="F27:G27"/>
    <mergeCell ref="F28:G28"/>
    <mergeCell ref="F29:G29"/>
    <mergeCell ref="F30:G30"/>
    <mergeCell ref="F31:G31"/>
    <mergeCell ref="F32:G32"/>
    <mergeCell ref="F33:G33"/>
  </mergeCells>
  <conditionalFormatting sqref="D5:O19">
    <cfRule type="cellIs" dxfId="9" priority="11" operator="lessThan">
      <formula>0</formula>
    </cfRule>
  </conditionalFormatting>
  <conditionalFormatting sqref="I36:K43">
    <cfRule type="notContainsBlanks" dxfId="8" priority="4">
      <formula>LEN(TRIM(I36))&gt;0</formula>
    </cfRule>
  </conditionalFormatting>
  <conditionalFormatting sqref="L36:L43">
    <cfRule type="notContainsBlanks" dxfId="7" priority="5">
      <formula>LEN(TRIM(L36))&gt;0</formula>
    </cfRule>
  </conditionalFormatting>
  <conditionalFormatting sqref="M24:M43">
    <cfRule type="cellIs" dxfId="5" priority="6" operator="equal">
      <formula>$L24</formula>
    </cfRule>
    <cfRule type="cellIs" dxfId="4" priority="7" operator="greaterThan">
      <formula>$L24</formula>
    </cfRule>
    <cfRule type="cellIs" dxfId="3" priority="8" operator="lessThan">
      <formula>$L24</formula>
    </cfRule>
  </conditionalFormatting>
  <conditionalFormatting sqref="N24:N43">
    <cfRule type="containsBlanks" dxfId="2" priority="2" stopIfTrue="1">
      <formula>LEN(TRIM(N24))=0</formula>
    </cfRule>
    <cfRule type="cellIs" dxfId="1" priority="3" operator="lessThan">
      <formula>0</formula>
    </cfRule>
    <cfRule type="cellIs" dxfId="0" priority="12" operator="greaterThan">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0" operator="notEqual" id="{A8FC2FD5-8D14-400B-807C-3C0B4EBC27A4}">
            <xm:f>SUM('Existing Building Baseline'!$T$5:$T$8)</xm:f>
            <x14:dxf>
              <font>
                <color rgb="FFFF0000"/>
              </font>
            </x14:dxf>
          </x14:cfRule>
          <xm:sqref>L44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815DD7F-F6D7-4014-9AC7-63F9398882F4}">
          <x14:formula1>
            <xm:f>'Calcs and References'!$A$2:$A$9</xm:f>
          </x14:formula1>
          <xm:sqref>K24:K43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01D24-5250-46C6-A3EF-92D120A4D582}">
  <dimension ref="A1:W21"/>
  <sheetViews>
    <sheetView workbookViewId="0">
      <selection activeCell="O12" sqref="O12"/>
    </sheetView>
  </sheetViews>
  <sheetFormatPr defaultRowHeight="15" x14ac:dyDescent="0.25"/>
  <cols>
    <col min="1" max="1" width="29.85546875" customWidth="1"/>
    <col min="2" max="2" width="18.7109375" customWidth="1"/>
    <col min="4" max="4" width="14.7109375" customWidth="1"/>
    <col min="16" max="16" width="0" hidden="1" customWidth="1"/>
    <col min="17" max="17" width="18.85546875" customWidth="1"/>
    <col min="19" max="19" width="9.140625" customWidth="1"/>
    <col min="20" max="20" width="13.42578125" customWidth="1"/>
    <col min="21" max="21" width="14.7109375" customWidth="1"/>
    <col min="22" max="22" width="11.28515625" customWidth="1"/>
    <col min="23" max="23" width="9.140625" customWidth="1"/>
  </cols>
  <sheetData>
    <row r="1" spans="1:23" x14ac:dyDescent="0.25">
      <c r="A1" t="s">
        <v>94</v>
      </c>
    </row>
    <row r="2" spans="1:23" x14ac:dyDescent="0.25">
      <c r="S2" t="s">
        <v>69</v>
      </c>
      <c r="T2" t="s">
        <v>67</v>
      </c>
      <c r="U2" t="s">
        <v>68</v>
      </c>
    </row>
    <row r="3" spans="1:23" x14ac:dyDescent="0.25">
      <c r="A3" t="s">
        <v>1</v>
      </c>
    </row>
    <row r="4" spans="1:23" ht="30" x14ac:dyDescent="0.25">
      <c r="A4" s="2" t="s">
        <v>15</v>
      </c>
      <c r="B4" s="2" t="s">
        <v>16</v>
      </c>
      <c r="C4" s="2" t="s">
        <v>2</v>
      </c>
      <c r="D4" s="3" t="s">
        <v>3</v>
      </c>
      <c r="E4" s="3" t="s">
        <v>4</v>
      </c>
      <c r="F4" s="3" t="s">
        <v>5</v>
      </c>
      <c r="G4" s="3" t="s">
        <v>6</v>
      </c>
      <c r="H4" s="3" t="s">
        <v>7</v>
      </c>
      <c r="I4" s="3" t="s">
        <v>8</v>
      </c>
      <c r="J4" s="3" t="s">
        <v>9</v>
      </c>
      <c r="K4" s="3" t="s">
        <v>10</v>
      </c>
      <c r="L4" s="3" t="s">
        <v>11</v>
      </c>
      <c r="M4" s="3" t="s">
        <v>12</v>
      </c>
      <c r="N4" s="3" t="s">
        <v>13</v>
      </c>
      <c r="O4" s="3" t="s">
        <v>14</v>
      </c>
      <c r="P4" s="2"/>
      <c r="Q4" s="3" t="s">
        <v>23</v>
      </c>
      <c r="T4" s="33" t="s">
        <v>66</v>
      </c>
      <c r="U4" t="s">
        <v>64</v>
      </c>
      <c r="V4" t="s">
        <v>65</v>
      </c>
      <c r="W4" t="s">
        <v>74</v>
      </c>
    </row>
    <row r="5" spans="1:23" x14ac:dyDescent="0.25">
      <c r="A5" s="1"/>
      <c r="B5" s="1" t="s">
        <v>21</v>
      </c>
      <c r="C5" s="1"/>
      <c r="D5" s="1"/>
      <c r="E5" s="1"/>
      <c r="F5" s="1"/>
      <c r="G5" s="1"/>
      <c r="H5" s="1"/>
      <c r="I5" s="1"/>
      <c r="J5" s="1"/>
      <c r="K5" s="1"/>
      <c r="L5" s="1"/>
      <c r="M5" s="1"/>
      <c r="N5" s="1"/>
      <c r="O5" s="1"/>
      <c r="P5">
        <f>SUM(C5:N5)</f>
        <v>0</v>
      </c>
      <c r="Q5" s="4" t="str">
        <f>IF(ABS(P5-O5)&lt;3," ","Sum not correct")</f>
        <v xml:space="preserve"> </v>
      </c>
      <c r="S5" t="str">
        <f>VLOOKUP(B5,'Calcs and References'!A$2:E$9,5,FALSE)</f>
        <v>ELEC</v>
      </c>
      <c r="T5">
        <f>VLOOKUP(B5,'Calcs and References'!A$2:E$9,4,FALSE)*O5</f>
        <v>0</v>
      </c>
      <c r="U5">
        <f>T5*1000/'Basic Info'!$D$18</f>
        <v>0</v>
      </c>
      <c r="V5">
        <f>U5*VLOOKUP(B5,'Calcs and References'!A$2:D$9,3,FALSE)</f>
        <v>0</v>
      </c>
      <c r="W5">
        <f>VLOOKUP(B5,'Calcs and References'!A$2:E$9,2,FALSE)*O5</f>
        <v>0</v>
      </c>
    </row>
    <row r="6" spans="1:23" x14ac:dyDescent="0.25">
      <c r="A6" s="1"/>
      <c r="B6" s="1" t="s">
        <v>22</v>
      </c>
      <c r="C6" s="1"/>
      <c r="D6" s="1"/>
      <c r="E6" s="1"/>
      <c r="F6" s="1"/>
      <c r="G6" s="1"/>
      <c r="H6" s="1"/>
      <c r="I6" s="1"/>
      <c r="J6" s="1"/>
      <c r="K6" s="1"/>
      <c r="L6" s="1"/>
      <c r="M6" s="1"/>
      <c r="N6" s="1"/>
      <c r="O6" s="1"/>
      <c r="P6">
        <f>SUM(C6:N6)</f>
        <v>0</v>
      </c>
      <c r="Q6" s="4" t="str">
        <f t="shared" ref="Q6:Q8" si="0">IF(ABS(P6-O6)&lt;3," ","Sum not correct")</f>
        <v xml:space="preserve"> </v>
      </c>
      <c r="S6" t="str">
        <f>VLOOKUP(B6,'Calcs and References'!A$2:E$9,5,FALSE)</f>
        <v>FF</v>
      </c>
      <c r="T6">
        <f>VLOOKUP(B6,'Calcs and References'!A$2:E$9,4,FALSE)*O6</f>
        <v>0</v>
      </c>
      <c r="U6">
        <f>T6*1000/'Basic Info'!$D$18</f>
        <v>0</v>
      </c>
      <c r="V6">
        <f>U6*VLOOKUP(B6,'Calcs and References'!A$2:D$9,3,FALSE)</f>
        <v>0</v>
      </c>
      <c r="W6">
        <f>VLOOKUP(B6,'Calcs and References'!A$2:E$9,2,FALSE)*O6</f>
        <v>0</v>
      </c>
    </row>
    <row r="7" spans="1:23" x14ac:dyDescent="0.25">
      <c r="A7" s="1"/>
      <c r="B7" s="1"/>
      <c r="C7" s="1"/>
      <c r="D7" s="1"/>
      <c r="E7" s="1"/>
      <c r="F7" s="1"/>
      <c r="G7" s="1"/>
      <c r="H7" s="1"/>
      <c r="I7" s="1"/>
      <c r="J7" s="1"/>
      <c r="K7" s="1"/>
      <c r="L7" s="1"/>
      <c r="M7" s="1"/>
      <c r="N7" s="1"/>
      <c r="O7" s="1"/>
      <c r="P7">
        <f t="shared" ref="P7:P8" si="1">SUM(C7:N7)</f>
        <v>0</v>
      </c>
      <c r="Q7" s="4" t="str">
        <f t="shared" si="0"/>
        <v xml:space="preserve"> </v>
      </c>
      <c r="S7" t="e">
        <f>VLOOKUP(B7,'Calcs and References'!A$2:E$9,5,FALSE)</f>
        <v>#N/A</v>
      </c>
      <c r="T7" t="e">
        <f>VLOOKUP(B7,'Calcs and References'!A$2:E$9,4,FALSE)*O7</f>
        <v>#N/A</v>
      </c>
      <c r="U7" t="e">
        <f>T7*1000/'Basic Info'!$D$18</f>
        <v>#N/A</v>
      </c>
      <c r="V7" t="e">
        <f>U7*VLOOKUP(B7,'Calcs and References'!A$2:D$9,3,FALSE)</f>
        <v>#N/A</v>
      </c>
      <c r="W7" t="e">
        <f>VLOOKUP(B7,'Calcs and References'!A$2:E$9,2,FALSE)*O7</f>
        <v>#N/A</v>
      </c>
    </row>
    <row r="8" spans="1:23" x14ac:dyDescent="0.25">
      <c r="A8" s="1"/>
      <c r="B8" s="1"/>
      <c r="C8" s="1"/>
      <c r="D8" s="1"/>
      <c r="E8" s="1"/>
      <c r="F8" s="1"/>
      <c r="G8" s="1"/>
      <c r="H8" s="1"/>
      <c r="I8" s="1"/>
      <c r="J8" s="1"/>
      <c r="K8" s="1"/>
      <c r="L8" s="1"/>
      <c r="M8" s="1"/>
      <c r="N8" s="1"/>
      <c r="O8" s="1"/>
      <c r="P8">
        <f t="shared" si="1"/>
        <v>0</v>
      </c>
      <c r="Q8" s="4" t="str">
        <f t="shared" si="0"/>
        <v xml:space="preserve"> </v>
      </c>
      <c r="S8" t="e">
        <f>VLOOKUP(B8,'Calcs and References'!A$2:E$9,5,FALSE)</f>
        <v>#N/A</v>
      </c>
      <c r="T8" t="e">
        <f>VLOOKUP(B8,'Calcs and References'!A$2:E$9,4,FALSE)*O8</f>
        <v>#N/A</v>
      </c>
      <c r="U8" t="e">
        <f>T8*1000/'Basic Info'!$D$18</f>
        <v>#N/A</v>
      </c>
      <c r="V8" t="e">
        <f>U8*VLOOKUP(B8,'Calcs and References'!A$2:D$9,3,FALSE)</f>
        <v>#N/A</v>
      </c>
      <c r="W8" t="e">
        <f>VLOOKUP(B8,'Calcs and References'!A$2:E$9,2,FALSE)*O8</f>
        <v>#N/A</v>
      </c>
    </row>
    <row r="9" spans="1:23" x14ac:dyDescent="0.25">
      <c r="V9">
        <f>SUMIF(V5:V8,"&lt;&gt;#N/A")</f>
        <v>0</v>
      </c>
      <c r="W9">
        <f>SUMIF(W5:W8,"&lt;&gt;#N/A")</f>
        <v>0</v>
      </c>
    </row>
    <row r="10" spans="1:23" x14ac:dyDescent="0.25">
      <c r="T10" t="s">
        <v>70</v>
      </c>
      <c r="U10" t="s">
        <v>71</v>
      </c>
      <c r="V10" t="s">
        <v>123</v>
      </c>
    </row>
    <row r="11" spans="1:23" x14ac:dyDescent="0.25">
      <c r="A11" t="s">
        <v>25</v>
      </c>
      <c r="T11">
        <f>SUMIF(S5:S8,S2,O5:O8)</f>
        <v>0</v>
      </c>
      <c r="U11" s="34">
        <f>SUMIF(S5:S8,S2,T5:T8)</f>
        <v>0</v>
      </c>
      <c r="V11">
        <f>U11*'Calcs and References'!C2</f>
        <v>0</v>
      </c>
    </row>
    <row r="12" spans="1:23" ht="45" x14ac:dyDescent="0.25">
      <c r="A12" s="2" t="s">
        <v>26</v>
      </c>
      <c r="B12" s="2" t="s">
        <v>27</v>
      </c>
      <c r="C12" s="2" t="s">
        <v>33</v>
      </c>
      <c r="D12" s="3" t="s">
        <v>28</v>
      </c>
      <c r="E12" s="3" t="s">
        <v>29</v>
      </c>
      <c r="F12" s="3" t="s">
        <v>30</v>
      </c>
      <c r="G12" s="3" t="s">
        <v>31</v>
      </c>
      <c r="U12" t="s">
        <v>72</v>
      </c>
    </row>
    <row r="13" spans="1:23" x14ac:dyDescent="0.25">
      <c r="A13" s="1"/>
      <c r="B13" s="1"/>
      <c r="C13" s="1"/>
      <c r="D13" s="1"/>
      <c r="E13" s="1"/>
      <c r="F13" s="1"/>
      <c r="G13" s="1"/>
      <c r="H13" s="5"/>
      <c r="U13">
        <f>SUMIF(S5:S8,T2,T5:T8)</f>
        <v>0</v>
      </c>
      <c r="V13">
        <f>U13*'Calcs and References'!C3</f>
        <v>0</v>
      </c>
    </row>
    <row r="14" spans="1:23" x14ac:dyDescent="0.25">
      <c r="A14" s="1"/>
      <c r="B14" s="1"/>
      <c r="C14" s="1"/>
      <c r="D14" s="1"/>
      <c r="E14" s="1"/>
      <c r="F14" s="1"/>
      <c r="G14" s="1"/>
      <c r="H14" s="5"/>
      <c r="U14" t="s">
        <v>73</v>
      </c>
    </row>
    <row r="15" spans="1:23" x14ac:dyDescent="0.25">
      <c r="A15" s="1"/>
      <c r="B15" s="1"/>
      <c r="C15" s="1"/>
      <c r="D15" s="1"/>
      <c r="E15" s="1"/>
      <c r="F15" s="1"/>
      <c r="G15" s="1"/>
      <c r="H15" s="5"/>
      <c r="U15">
        <f>SUMIF(S5:S8,U2,T5:T8)</f>
        <v>0</v>
      </c>
      <c r="V15">
        <f>U15*'Calcs and References'!C6</f>
        <v>0</v>
      </c>
    </row>
    <row r="16" spans="1:23" x14ac:dyDescent="0.25">
      <c r="A16" s="1"/>
      <c r="B16" s="1"/>
      <c r="C16" s="1"/>
      <c r="D16" s="1"/>
      <c r="E16" s="1"/>
      <c r="F16" s="1"/>
      <c r="G16" s="1"/>
      <c r="H16" s="5"/>
    </row>
    <row r="17" spans="1:7" ht="30" x14ac:dyDescent="0.25">
      <c r="E17" s="3" t="s">
        <v>32</v>
      </c>
      <c r="F17" s="168" t="s">
        <v>23</v>
      </c>
      <c r="G17" s="168"/>
    </row>
    <row r="18" spans="1:7" x14ac:dyDescent="0.25">
      <c r="E18" s="1"/>
      <c r="F18" s="170" t="str">
        <f>IF(ABS(E13+E14+E15+E16-E18)&lt;3," ","Sum not correct")</f>
        <v xml:space="preserve"> </v>
      </c>
      <c r="G18" s="170"/>
    </row>
    <row r="20" spans="1:7" x14ac:dyDescent="0.25">
      <c r="A20" s="2" t="s">
        <v>37</v>
      </c>
    </row>
    <row r="21" spans="1:7" x14ac:dyDescent="0.25">
      <c r="A21" s="167"/>
      <c r="B21" s="167"/>
      <c r="C21" s="167"/>
      <c r="D21" s="167"/>
    </row>
  </sheetData>
  <mergeCells count="3">
    <mergeCell ref="F17:G17"/>
    <mergeCell ref="F18:G18"/>
    <mergeCell ref="A21:D2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B2B26BA-0E9A-4C19-AEF5-4AA3934B9C57}">
          <x14:formula1>
            <xm:f>'Calcs and References'!$A$2:$A$9</xm:f>
          </x14:formula1>
          <xm:sqref>B13:B16 B5:B8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2F302-0408-496F-B62B-7147B4CD511A}">
  <dimension ref="A1:W21"/>
  <sheetViews>
    <sheetView workbookViewId="0">
      <selection activeCell="B13" sqref="B13:B16"/>
    </sheetView>
  </sheetViews>
  <sheetFormatPr defaultRowHeight="15" x14ac:dyDescent="0.25"/>
  <cols>
    <col min="1" max="1" width="29.85546875" customWidth="1"/>
    <col min="2" max="2" width="18.7109375" customWidth="1"/>
    <col min="4" max="4" width="14.7109375" customWidth="1"/>
    <col min="16" max="16" width="0" hidden="1" customWidth="1"/>
    <col min="17" max="17" width="18.85546875" customWidth="1"/>
    <col min="19" max="19" width="9.140625" customWidth="1"/>
    <col min="20" max="20" width="13.42578125" customWidth="1"/>
    <col min="21" max="21" width="14.7109375" customWidth="1"/>
    <col min="22" max="22" width="11.28515625" customWidth="1"/>
    <col min="23" max="23" width="9.140625" customWidth="1"/>
  </cols>
  <sheetData>
    <row r="1" spans="1:23" x14ac:dyDescent="0.25">
      <c r="A1" t="s">
        <v>95</v>
      </c>
    </row>
    <row r="2" spans="1:23" x14ac:dyDescent="0.25">
      <c r="S2" t="s">
        <v>69</v>
      </c>
      <c r="T2" t="s">
        <v>67</v>
      </c>
      <c r="U2" t="s">
        <v>68</v>
      </c>
    </row>
    <row r="3" spans="1:23" x14ac:dyDescent="0.25">
      <c r="A3" t="s">
        <v>1</v>
      </c>
    </row>
    <row r="4" spans="1:23" ht="30" x14ac:dyDescent="0.25">
      <c r="A4" s="2" t="s">
        <v>15</v>
      </c>
      <c r="B4" s="2" t="s">
        <v>16</v>
      </c>
      <c r="C4" s="2" t="s">
        <v>2</v>
      </c>
      <c r="D4" s="3" t="s">
        <v>3</v>
      </c>
      <c r="E4" s="3" t="s">
        <v>4</v>
      </c>
      <c r="F4" s="3" t="s">
        <v>5</v>
      </c>
      <c r="G4" s="3" t="s">
        <v>6</v>
      </c>
      <c r="H4" s="3" t="s">
        <v>7</v>
      </c>
      <c r="I4" s="3" t="s">
        <v>8</v>
      </c>
      <c r="J4" s="3" t="s">
        <v>9</v>
      </c>
      <c r="K4" s="3" t="s">
        <v>10</v>
      </c>
      <c r="L4" s="3" t="s">
        <v>11</v>
      </c>
      <c r="M4" s="3" t="s">
        <v>12</v>
      </c>
      <c r="N4" s="3" t="s">
        <v>13</v>
      </c>
      <c r="O4" s="3" t="s">
        <v>14</v>
      </c>
      <c r="P4" s="2"/>
      <c r="Q4" s="3" t="s">
        <v>23</v>
      </c>
      <c r="T4" s="33" t="s">
        <v>66</v>
      </c>
      <c r="U4" t="s">
        <v>64</v>
      </c>
      <c r="V4" t="s">
        <v>65</v>
      </c>
      <c r="W4" t="s">
        <v>74</v>
      </c>
    </row>
    <row r="5" spans="1:23" x14ac:dyDescent="0.25">
      <c r="A5" s="1"/>
      <c r="B5" s="1" t="s">
        <v>21</v>
      </c>
      <c r="C5" s="1"/>
      <c r="D5" s="1"/>
      <c r="E5" s="1"/>
      <c r="F5" s="1"/>
      <c r="G5" s="1"/>
      <c r="H5" s="1"/>
      <c r="I5" s="1"/>
      <c r="J5" s="1"/>
      <c r="K5" s="1"/>
      <c r="L5" s="1"/>
      <c r="M5" s="1"/>
      <c r="N5" s="1"/>
      <c r="O5" s="1"/>
      <c r="P5">
        <f>SUM(C5:N5)</f>
        <v>0</v>
      </c>
      <c r="Q5" s="4" t="str">
        <f>IF(ABS(P5-O5)&lt;3," ","Sum not correct")</f>
        <v xml:space="preserve"> </v>
      </c>
      <c r="S5" t="str">
        <f>VLOOKUP(B5,'Calcs and References'!A$2:E$9,5,FALSE)</f>
        <v>ELEC</v>
      </c>
      <c r="T5">
        <f>VLOOKUP(B5,'Calcs and References'!A$2:E$9,4,FALSE)*O5</f>
        <v>0</v>
      </c>
      <c r="U5">
        <f>T5*1000/'Basic Info'!$D$18</f>
        <v>0</v>
      </c>
      <c r="V5">
        <f>U5*VLOOKUP(B5,'Calcs and References'!A$2:D$9,3,FALSE)</f>
        <v>0</v>
      </c>
      <c r="W5">
        <f>VLOOKUP(B5,'Calcs and References'!A$2:E$9,2,FALSE)*O5</f>
        <v>0</v>
      </c>
    </row>
    <row r="6" spans="1:23" x14ac:dyDescent="0.25">
      <c r="A6" s="1"/>
      <c r="B6" s="1" t="s">
        <v>22</v>
      </c>
      <c r="C6" s="1"/>
      <c r="D6" s="1"/>
      <c r="E6" s="1"/>
      <c r="F6" s="1"/>
      <c r="G6" s="1"/>
      <c r="H6" s="1"/>
      <c r="I6" s="1"/>
      <c r="J6" s="1"/>
      <c r="K6" s="1"/>
      <c r="L6" s="1"/>
      <c r="M6" s="1"/>
      <c r="N6" s="1"/>
      <c r="O6" s="1"/>
      <c r="P6">
        <f>SUM(C6:N6)</f>
        <v>0</v>
      </c>
      <c r="Q6" s="4" t="str">
        <f t="shared" ref="Q6:Q8" si="0">IF(ABS(P6-O6)&lt;3," ","Sum not correct")</f>
        <v xml:space="preserve"> </v>
      </c>
      <c r="S6" t="str">
        <f>VLOOKUP(B6,'Calcs and References'!A$2:E$9,5,FALSE)</f>
        <v>FF</v>
      </c>
      <c r="T6">
        <f>VLOOKUP(B6,'Calcs and References'!A$2:E$9,4,FALSE)*O6</f>
        <v>0</v>
      </c>
      <c r="U6">
        <f>T6*1000/'Basic Info'!$D$18</f>
        <v>0</v>
      </c>
      <c r="V6">
        <f>U6*VLOOKUP(B6,'Calcs and References'!A$2:D$9,3,FALSE)</f>
        <v>0</v>
      </c>
      <c r="W6">
        <f>VLOOKUP(B6,'Calcs and References'!A$2:E$9,2,FALSE)*O6</f>
        <v>0</v>
      </c>
    </row>
    <row r="7" spans="1:23" x14ac:dyDescent="0.25">
      <c r="A7" s="1"/>
      <c r="B7" s="1"/>
      <c r="C7" s="1"/>
      <c r="D7" s="1"/>
      <c r="E7" s="1"/>
      <c r="F7" s="1"/>
      <c r="G7" s="1"/>
      <c r="H7" s="1"/>
      <c r="I7" s="1"/>
      <c r="J7" s="1"/>
      <c r="K7" s="1"/>
      <c r="L7" s="1"/>
      <c r="M7" s="1"/>
      <c r="N7" s="1"/>
      <c r="O7" s="1"/>
      <c r="P7">
        <f t="shared" ref="P7:P8" si="1">SUM(C7:N7)</f>
        <v>0</v>
      </c>
      <c r="Q7" s="4" t="str">
        <f t="shared" si="0"/>
        <v xml:space="preserve"> </v>
      </c>
      <c r="S7" t="e">
        <f>VLOOKUP(B7,'Calcs and References'!A$2:E$9,5,FALSE)</f>
        <v>#N/A</v>
      </c>
      <c r="T7" t="e">
        <f>VLOOKUP(B7,'Calcs and References'!A$2:E$9,4,FALSE)*O7</f>
        <v>#N/A</v>
      </c>
      <c r="U7" t="e">
        <f>T7*1000/'Basic Info'!$D$18</f>
        <v>#N/A</v>
      </c>
      <c r="V7" t="e">
        <f>U7*VLOOKUP(B7,'Calcs and References'!A$2:D$9,3,FALSE)</f>
        <v>#N/A</v>
      </c>
      <c r="W7" t="e">
        <f>VLOOKUP(B7,'Calcs and References'!A$2:E$9,2,FALSE)*O7</f>
        <v>#N/A</v>
      </c>
    </row>
    <row r="8" spans="1:23" x14ac:dyDescent="0.25">
      <c r="A8" s="1"/>
      <c r="B8" s="1"/>
      <c r="C8" s="1"/>
      <c r="D8" s="1"/>
      <c r="E8" s="1"/>
      <c r="F8" s="1"/>
      <c r="G8" s="1"/>
      <c r="H8" s="1"/>
      <c r="I8" s="1"/>
      <c r="J8" s="1"/>
      <c r="K8" s="1"/>
      <c r="L8" s="1"/>
      <c r="M8" s="1"/>
      <c r="N8" s="1"/>
      <c r="O8" s="1"/>
      <c r="P8">
        <f t="shared" si="1"/>
        <v>0</v>
      </c>
      <c r="Q8" s="4" t="str">
        <f t="shared" si="0"/>
        <v xml:space="preserve"> </v>
      </c>
      <c r="S8" t="e">
        <f>VLOOKUP(B8,'Calcs and References'!A$2:E$9,5,FALSE)</f>
        <v>#N/A</v>
      </c>
      <c r="T8" t="e">
        <f>VLOOKUP(B8,'Calcs and References'!A$2:E$9,4,FALSE)*O8</f>
        <v>#N/A</v>
      </c>
      <c r="U8" t="e">
        <f>T8*1000/'Basic Info'!$D$18</f>
        <v>#N/A</v>
      </c>
      <c r="V8" t="e">
        <f>U8*VLOOKUP(B8,'Calcs and References'!A$2:D$9,3,FALSE)</f>
        <v>#N/A</v>
      </c>
      <c r="W8" t="e">
        <f>VLOOKUP(B8,'Calcs and References'!A$2:E$9,2,FALSE)*O8</f>
        <v>#N/A</v>
      </c>
    </row>
    <row r="9" spans="1:23" x14ac:dyDescent="0.25">
      <c r="V9">
        <f>SUMIF(V5:V8,"&lt;&gt;#N/A")</f>
        <v>0</v>
      </c>
      <c r="W9">
        <f>SUMIF(W5:W8,"&lt;&gt;#N/A")</f>
        <v>0</v>
      </c>
    </row>
    <row r="10" spans="1:23" x14ac:dyDescent="0.25">
      <c r="T10" t="s">
        <v>70</v>
      </c>
      <c r="U10" t="s">
        <v>71</v>
      </c>
      <c r="V10" t="s">
        <v>123</v>
      </c>
    </row>
    <row r="11" spans="1:23" x14ac:dyDescent="0.25">
      <c r="A11" t="s">
        <v>25</v>
      </c>
      <c r="T11">
        <f>SUMIF(S5:S8,S2,O5:O8)</f>
        <v>0</v>
      </c>
      <c r="U11" s="34">
        <f>SUMIF(S5:S8,S2,T5:T8)</f>
        <v>0</v>
      </c>
      <c r="V11">
        <f>U11*'Calcs and References'!C2</f>
        <v>0</v>
      </c>
    </row>
    <row r="12" spans="1:23" ht="45" x14ac:dyDescent="0.25">
      <c r="A12" s="2" t="s">
        <v>26</v>
      </c>
      <c r="B12" s="2" t="s">
        <v>27</v>
      </c>
      <c r="C12" s="2" t="s">
        <v>33</v>
      </c>
      <c r="D12" s="3" t="s">
        <v>28</v>
      </c>
      <c r="E12" s="3" t="s">
        <v>29</v>
      </c>
      <c r="F12" s="3" t="s">
        <v>30</v>
      </c>
      <c r="G12" s="3" t="s">
        <v>31</v>
      </c>
      <c r="U12" t="s">
        <v>72</v>
      </c>
    </row>
    <row r="13" spans="1:23" x14ac:dyDescent="0.25">
      <c r="A13" s="1"/>
      <c r="B13" s="1"/>
      <c r="C13" s="1"/>
      <c r="D13" s="1"/>
      <c r="E13" s="1"/>
      <c r="F13" s="1"/>
      <c r="G13" s="1"/>
      <c r="H13" s="5"/>
      <c r="U13">
        <f>SUMIF(S5:S8,T2,T5:T8)</f>
        <v>0</v>
      </c>
      <c r="V13">
        <f>U13*'Calcs and References'!C3</f>
        <v>0</v>
      </c>
    </row>
    <row r="14" spans="1:23" x14ac:dyDescent="0.25">
      <c r="A14" s="1"/>
      <c r="B14" s="1"/>
      <c r="C14" s="1"/>
      <c r="D14" s="1"/>
      <c r="E14" s="1"/>
      <c r="F14" s="1"/>
      <c r="G14" s="1"/>
      <c r="H14" s="5"/>
      <c r="U14" t="s">
        <v>73</v>
      </c>
    </row>
    <row r="15" spans="1:23" x14ac:dyDescent="0.25">
      <c r="A15" s="1"/>
      <c r="B15" s="1"/>
      <c r="C15" s="1"/>
      <c r="D15" s="1"/>
      <c r="E15" s="1"/>
      <c r="F15" s="1"/>
      <c r="G15" s="1"/>
      <c r="H15" s="5"/>
      <c r="U15">
        <f>SUMIF(S5:S8,U2,T5:T8)</f>
        <v>0</v>
      </c>
      <c r="V15">
        <f>U15*'Calcs and References'!C6</f>
        <v>0</v>
      </c>
    </row>
    <row r="16" spans="1:23" x14ac:dyDescent="0.25">
      <c r="A16" s="1"/>
      <c r="B16" s="1"/>
      <c r="C16" s="1"/>
      <c r="D16" s="1"/>
      <c r="E16" s="1"/>
      <c r="F16" s="1"/>
      <c r="G16" s="1"/>
      <c r="H16" s="5"/>
    </row>
    <row r="17" spans="1:7" ht="30" x14ac:dyDescent="0.25">
      <c r="E17" s="3" t="s">
        <v>32</v>
      </c>
      <c r="F17" s="168" t="s">
        <v>23</v>
      </c>
      <c r="G17" s="168"/>
    </row>
    <row r="18" spans="1:7" x14ac:dyDescent="0.25">
      <c r="E18" s="1"/>
      <c r="F18" s="170" t="str">
        <f>IF(ABS(E13+E14+E15+E16-E18)&lt;3," ","Sum not correct")</f>
        <v xml:space="preserve"> </v>
      </c>
      <c r="G18" s="170"/>
    </row>
    <row r="20" spans="1:7" x14ac:dyDescent="0.25">
      <c r="A20" s="2" t="s">
        <v>37</v>
      </c>
    </row>
    <row r="21" spans="1:7" x14ac:dyDescent="0.25">
      <c r="A21" s="167"/>
      <c r="B21" s="167"/>
      <c r="C21" s="167"/>
      <c r="D21" s="167"/>
    </row>
  </sheetData>
  <mergeCells count="3">
    <mergeCell ref="F17:G17"/>
    <mergeCell ref="F18:G18"/>
    <mergeCell ref="A21:D2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ED3A6C2-1F0A-4681-A5F8-A962B72E7B7A}">
          <x14:formula1>
            <xm:f>'Calcs and References'!$A$2:$A$9</xm:f>
          </x14:formula1>
          <xm:sqref>B13:B16 B5:B8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7AF3C-DC92-4E22-B338-FD3E1F4166ED}">
  <dimension ref="B1:M20"/>
  <sheetViews>
    <sheetView tabSelected="1" workbookViewId="0">
      <selection activeCell="K21" sqref="K21"/>
    </sheetView>
  </sheetViews>
  <sheetFormatPr defaultRowHeight="15" x14ac:dyDescent="0.25"/>
  <cols>
    <col min="2" max="2" width="17.140625" customWidth="1"/>
    <col min="3" max="3" width="15.5703125" customWidth="1"/>
    <col min="4" max="4" width="17.42578125" customWidth="1"/>
    <col min="5" max="5" width="16" customWidth="1"/>
    <col min="6" max="6" width="18.42578125" customWidth="1"/>
    <col min="7" max="7" width="15.28515625" customWidth="1"/>
    <col min="8" max="9" width="16.28515625" customWidth="1"/>
    <col min="10" max="10" width="16" customWidth="1"/>
    <col min="11" max="11" width="12.85546875" customWidth="1"/>
    <col min="12" max="12" width="14.140625" customWidth="1"/>
    <col min="13" max="13" width="12.140625" customWidth="1"/>
  </cols>
  <sheetData>
    <row r="1" spans="2:13" ht="15.75" thickBot="1" x14ac:dyDescent="0.3"/>
    <row r="2" spans="2:13" ht="60.75" thickBot="1" x14ac:dyDescent="0.3">
      <c r="B2" s="89" t="s">
        <v>166</v>
      </c>
      <c r="C2" s="89" t="s">
        <v>167</v>
      </c>
      <c r="D2" s="89" t="s">
        <v>168</v>
      </c>
      <c r="E2" s="89" t="s">
        <v>169</v>
      </c>
      <c r="F2" s="89" t="s">
        <v>170</v>
      </c>
      <c r="G2" s="89" t="s">
        <v>171</v>
      </c>
      <c r="H2" s="89" t="s">
        <v>172</v>
      </c>
      <c r="I2" s="89" t="s">
        <v>173</v>
      </c>
      <c r="J2" s="89" t="s">
        <v>174</v>
      </c>
      <c r="K2" s="89" t="s">
        <v>175</v>
      </c>
      <c r="L2" s="90" t="s">
        <v>176</v>
      </c>
      <c r="M2" s="89" t="s">
        <v>177</v>
      </c>
    </row>
    <row r="3" spans="2:13" ht="15.75" thickBot="1" x14ac:dyDescent="0.3">
      <c r="B3" s="91">
        <f>Results!F27</f>
        <v>913628</v>
      </c>
      <c r="C3" s="92">
        <f>Results!F28</f>
        <v>-14573</v>
      </c>
      <c r="D3" s="92">
        <f>SUMIF('Proposed Design'!B5:B8,'Calcs and References'!A3,'Proposed Design'!O5:O8)</f>
        <v>2832</v>
      </c>
      <c r="E3" s="92">
        <f>SUMIF('Existing Building Baseline'!B5:B8,'Calcs and References'!A3,'Existing Building Baseline'!O5:O8)-'Capital Planning Information'!D3</f>
        <v>-2832</v>
      </c>
      <c r="F3" s="92">
        <f>SUMIF('Proposed Design'!B5:B8,'Calcs and References'!A6,'Proposed Design'!O5:O8)</f>
        <v>0</v>
      </c>
      <c r="G3" s="92">
        <f>SUMIF('Existing Building Baseline'!B5:B8,'Calcs and References'!A6,'Existing Building Baseline'!O5:O8)-'Capital Planning Information'!F3</f>
        <v>0</v>
      </c>
      <c r="H3" s="92">
        <f>SUMIF('Proposed Design'!B5:B8,'Calcs and References'!A5,'Proposed Design'!O5:O8)</f>
        <v>0</v>
      </c>
      <c r="I3" s="92">
        <f>SUMIF('Proposed Design'!B5:B8,'Calcs and References'!A4,'Proposed Design'!O5:O8)</f>
        <v>0</v>
      </c>
      <c r="J3" s="92">
        <f>SUMIF('Proposed Design'!B5:B8,'Calcs and References'!A9,'Proposed Design'!O5:O8)+SUMIF('Proposed Design'!B5:B8,'Calcs and References'!A8,'Proposed Design'!O5:O8)</f>
        <v>0</v>
      </c>
      <c r="K3" s="95">
        <f>Results!D36-Results!F36</f>
        <v>198.44256858000017</v>
      </c>
      <c r="L3" s="94">
        <f>Results!F43/1000</f>
        <v>2.143894537008964E-2</v>
      </c>
      <c r="M3" s="93">
        <f>Results!F25</f>
        <v>41518.806400000001</v>
      </c>
    </row>
    <row r="4" spans="2:13" ht="15.75" thickBot="1" x14ac:dyDescent="0.3"/>
    <row r="5" spans="2:13" ht="15" customHeight="1" x14ac:dyDescent="0.25">
      <c r="B5" s="156" t="s">
        <v>178</v>
      </c>
      <c r="C5" s="157"/>
      <c r="D5" s="157"/>
      <c r="E5" s="157"/>
      <c r="F5" s="157"/>
      <c r="G5" s="157"/>
      <c r="H5" s="158"/>
    </row>
    <row r="6" spans="2:13" x14ac:dyDescent="0.25">
      <c r="B6" s="159"/>
      <c r="C6" s="160"/>
      <c r="D6" s="160"/>
      <c r="E6" s="160"/>
      <c r="F6" s="160"/>
      <c r="G6" s="160"/>
      <c r="H6" s="161"/>
    </row>
    <row r="7" spans="2:13" x14ac:dyDescent="0.25">
      <c r="B7" s="159"/>
      <c r="C7" s="160"/>
      <c r="D7" s="160"/>
      <c r="E7" s="160"/>
      <c r="F7" s="160"/>
      <c r="G7" s="160"/>
      <c r="H7" s="161"/>
    </row>
    <row r="8" spans="2:13" x14ac:dyDescent="0.25">
      <c r="B8" s="159"/>
      <c r="C8" s="160"/>
      <c r="D8" s="160"/>
      <c r="E8" s="160"/>
      <c r="F8" s="160"/>
      <c r="G8" s="160"/>
      <c r="H8" s="161"/>
    </row>
    <row r="9" spans="2:13" x14ac:dyDescent="0.25">
      <c r="B9" s="159"/>
      <c r="C9" s="160"/>
      <c r="D9" s="160"/>
      <c r="E9" s="160"/>
      <c r="F9" s="160"/>
      <c r="G9" s="160"/>
      <c r="H9" s="161"/>
    </row>
    <row r="10" spans="2:13" x14ac:dyDescent="0.25">
      <c r="B10" s="159"/>
      <c r="C10" s="160"/>
      <c r="D10" s="160"/>
      <c r="E10" s="160"/>
      <c r="F10" s="160"/>
      <c r="G10" s="160"/>
      <c r="H10" s="161"/>
    </row>
    <row r="11" spans="2:13" x14ac:dyDescent="0.25">
      <c r="B11" s="159"/>
      <c r="C11" s="160"/>
      <c r="D11" s="160"/>
      <c r="E11" s="160"/>
      <c r="F11" s="160"/>
      <c r="G11" s="160"/>
      <c r="H11" s="161"/>
    </row>
    <row r="12" spans="2:13" x14ac:dyDescent="0.25">
      <c r="B12" s="159"/>
      <c r="C12" s="160"/>
      <c r="D12" s="160"/>
      <c r="E12" s="160"/>
      <c r="F12" s="160"/>
      <c r="G12" s="160"/>
      <c r="H12" s="161"/>
    </row>
    <row r="13" spans="2:13" x14ac:dyDescent="0.25">
      <c r="B13" s="159"/>
      <c r="C13" s="160"/>
      <c r="D13" s="160"/>
      <c r="E13" s="160"/>
      <c r="F13" s="160"/>
      <c r="G13" s="160"/>
      <c r="H13" s="161"/>
    </row>
    <row r="14" spans="2:13" x14ac:dyDescent="0.25">
      <c r="B14" s="159"/>
      <c r="C14" s="160"/>
      <c r="D14" s="160"/>
      <c r="E14" s="160"/>
      <c r="F14" s="160"/>
      <c r="G14" s="160"/>
      <c r="H14" s="161"/>
    </row>
    <row r="15" spans="2:13" x14ac:dyDescent="0.25">
      <c r="B15" s="159"/>
      <c r="C15" s="160"/>
      <c r="D15" s="160"/>
      <c r="E15" s="160"/>
      <c r="F15" s="160"/>
      <c r="G15" s="160"/>
      <c r="H15" s="161"/>
    </row>
    <row r="16" spans="2:13" x14ac:dyDescent="0.25">
      <c r="B16" s="159"/>
      <c r="C16" s="160"/>
      <c r="D16" s="160"/>
      <c r="E16" s="160"/>
      <c r="F16" s="160"/>
      <c r="G16" s="160"/>
      <c r="H16" s="161"/>
    </row>
    <row r="17" spans="2:8" x14ac:dyDescent="0.25">
      <c r="B17" s="159"/>
      <c r="C17" s="160"/>
      <c r="D17" s="160"/>
      <c r="E17" s="160"/>
      <c r="F17" s="160"/>
      <c r="G17" s="160"/>
      <c r="H17" s="161"/>
    </row>
    <row r="18" spans="2:8" x14ac:dyDescent="0.25">
      <c r="B18" s="159"/>
      <c r="C18" s="160"/>
      <c r="D18" s="160"/>
      <c r="E18" s="160"/>
      <c r="F18" s="160"/>
      <c r="G18" s="160"/>
      <c r="H18" s="161"/>
    </row>
    <row r="19" spans="2:8" x14ac:dyDescent="0.25">
      <c r="B19" s="159"/>
      <c r="C19" s="160"/>
      <c r="D19" s="160"/>
      <c r="E19" s="160"/>
      <c r="F19" s="160"/>
      <c r="G19" s="160"/>
      <c r="H19" s="161"/>
    </row>
    <row r="20" spans="2:8" ht="15.75" thickBot="1" x14ac:dyDescent="0.3">
      <c r="B20" s="162"/>
      <c r="C20" s="163"/>
      <c r="D20" s="163"/>
      <c r="E20" s="163"/>
      <c r="F20" s="163"/>
      <c r="G20" s="163"/>
      <c r="H20" s="164"/>
    </row>
  </sheetData>
  <mergeCells count="1">
    <mergeCell ref="B5:H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97EBD-D404-4E1E-8D2D-8E208BA26989}">
  <dimension ref="A1:H9"/>
  <sheetViews>
    <sheetView workbookViewId="0">
      <selection activeCell="G24" sqref="G24"/>
    </sheetView>
  </sheetViews>
  <sheetFormatPr defaultRowHeight="15" x14ac:dyDescent="0.25"/>
  <cols>
    <col min="1" max="1" width="27.140625" customWidth="1"/>
    <col min="3" max="3" width="15.28515625" customWidth="1"/>
    <col min="4" max="4" width="14.7109375" customWidth="1"/>
  </cols>
  <sheetData>
    <row r="1" spans="1:8" x14ac:dyDescent="0.25">
      <c r="A1" t="s">
        <v>24</v>
      </c>
      <c r="B1" t="s">
        <v>62</v>
      </c>
      <c r="C1" t="s">
        <v>63</v>
      </c>
      <c r="D1" t="s">
        <v>128</v>
      </c>
      <c r="E1" t="s">
        <v>24</v>
      </c>
    </row>
    <row r="2" spans="1:8" x14ac:dyDescent="0.25">
      <c r="A2" t="s">
        <v>21</v>
      </c>
      <c r="B2" s="58">
        <f>0.07632*D2</f>
        <v>2.604145248E-4</v>
      </c>
      <c r="C2">
        <v>2.5499999999999998</v>
      </c>
      <c r="D2">
        <f>3412.14/1000000</f>
        <v>3.4121399999999997E-3</v>
      </c>
      <c r="E2" t="s">
        <v>69</v>
      </c>
      <c r="H2" t="s">
        <v>17</v>
      </c>
    </row>
    <row r="3" spans="1:8" x14ac:dyDescent="0.25">
      <c r="A3" t="s">
        <v>22</v>
      </c>
      <c r="B3" s="58">
        <f>0.05*D3</f>
        <v>4.9988050000000011E-3</v>
      </c>
      <c r="C3">
        <v>1.05</v>
      </c>
      <c r="D3">
        <f>99976.1/1000000</f>
        <v>9.9976100000000012E-2</v>
      </c>
      <c r="E3" t="s">
        <v>67</v>
      </c>
      <c r="H3" t="s">
        <v>145</v>
      </c>
    </row>
    <row r="4" spans="1:8" x14ac:dyDescent="0.25">
      <c r="A4" t="s">
        <v>132</v>
      </c>
      <c r="B4" s="58">
        <f>0.07414*D4</f>
        <v>1.0379600000000001E-2</v>
      </c>
      <c r="C4">
        <v>1.01</v>
      </c>
      <c r="D4" s="60">
        <v>0.14000000000000001</v>
      </c>
      <c r="E4" t="s">
        <v>67</v>
      </c>
      <c r="H4" t="s">
        <v>18</v>
      </c>
    </row>
    <row r="5" spans="1:8" x14ac:dyDescent="0.25">
      <c r="A5" t="s">
        <v>133</v>
      </c>
      <c r="B5" s="58">
        <f>0.07617*D5</f>
        <v>1.112082E-2</v>
      </c>
      <c r="C5">
        <v>1.01</v>
      </c>
      <c r="D5" s="60">
        <v>0.14599999999999999</v>
      </c>
      <c r="E5" t="s">
        <v>67</v>
      </c>
      <c r="H5" t="s">
        <v>20</v>
      </c>
    </row>
    <row r="6" spans="1:8" x14ac:dyDescent="0.25">
      <c r="A6" t="s">
        <v>127</v>
      </c>
      <c r="B6" s="58">
        <v>1</v>
      </c>
      <c r="C6">
        <v>1.2</v>
      </c>
      <c r="D6" s="59">
        <v>1</v>
      </c>
      <c r="E6" t="s">
        <v>68</v>
      </c>
      <c r="H6" t="s">
        <v>19</v>
      </c>
    </row>
    <row r="7" spans="1:8" x14ac:dyDescent="0.25">
      <c r="A7" t="s">
        <v>131</v>
      </c>
      <c r="B7" s="58">
        <v>1</v>
      </c>
      <c r="C7">
        <v>0.91</v>
      </c>
      <c r="D7" s="59">
        <v>1</v>
      </c>
      <c r="E7" t="s">
        <v>68</v>
      </c>
      <c r="H7" t="s">
        <v>146</v>
      </c>
    </row>
    <row r="8" spans="1:8" x14ac:dyDescent="0.25">
      <c r="A8" t="s">
        <v>129</v>
      </c>
      <c r="B8" s="58">
        <f>0.05799*D8</f>
        <v>7.3473330000000002E-3</v>
      </c>
      <c r="C8">
        <v>1.01</v>
      </c>
      <c r="D8" s="59">
        <v>0.12670000000000001</v>
      </c>
      <c r="E8" t="s">
        <v>68</v>
      </c>
      <c r="H8" t="s">
        <v>148</v>
      </c>
    </row>
    <row r="9" spans="1:8" x14ac:dyDescent="0.25">
      <c r="A9" t="s">
        <v>130</v>
      </c>
      <c r="B9" s="58">
        <f>0.01118*D9</f>
        <v>1.3360100000000001E-3</v>
      </c>
      <c r="C9">
        <v>1.01</v>
      </c>
      <c r="D9" s="59">
        <v>0.1195</v>
      </c>
      <c r="E9" t="s">
        <v>68</v>
      </c>
      <c r="H9"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033FA-B387-4407-B59E-C6AB4C4C304D}">
  <dimension ref="A1:W18"/>
  <sheetViews>
    <sheetView workbookViewId="0">
      <selection activeCell="Q7" sqref="Q7"/>
    </sheetView>
  </sheetViews>
  <sheetFormatPr defaultRowHeight="15" x14ac:dyDescent="0.25"/>
  <cols>
    <col min="1" max="1" width="29.85546875" customWidth="1"/>
    <col min="2" max="2" width="18.7109375" customWidth="1"/>
    <col min="4" max="4" width="14.7109375" customWidth="1"/>
    <col min="16" max="16" width="0" hidden="1" customWidth="1"/>
    <col min="17" max="17" width="18.85546875" customWidth="1"/>
    <col min="21" max="21" width="12.28515625" customWidth="1"/>
  </cols>
  <sheetData>
    <row r="1" spans="1:23" x14ac:dyDescent="0.25">
      <c r="A1" t="s">
        <v>0</v>
      </c>
    </row>
    <row r="2" spans="1:23" x14ac:dyDescent="0.25">
      <c r="S2" t="s">
        <v>69</v>
      </c>
      <c r="T2" t="s">
        <v>67</v>
      </c>
      <c r="U2" t="s">
        <v>68</v>
      </c>
    </row>
    <row r="3" spans="1:23" x14ac:dyDescent="0.25">
      <c r="A3" t="s">
        <v>1</v>
      </c>
    </row>
    <row r="4" spans="1:23" ht="30" x14ac:dyDescent="0.25">
      <c r="A4" s="2" t="s">
        <v>15</v>
      </c>
      <c r="B4" s="2" t="s">
        <v>16</v>
      </c>
      <c r="C4" s="2" t="s">
        <v>2</v>
      </c>
      <c r="D4" s="3" t="s">
        <v>3</v>
      </c>
      <c r="E4" s="3" t="s">
        <v>4</v>
      </c>
      <c r="F4" s="3" t="s">
        <v>5</v>
      </c>
      <c r="G4" s="3" t="s">
        <v>6</v>
      </c>
      <c r="H4" s="3" t="s">
        <v>7</v>
      </c>
      <c r="I4" s="3" t="s">
        <v>8</v>
      </c>
      <c r="J4" s="3" t="s">
        <v>9</v>
      </c>
      <c r="K4" s="3" t="s">
        <v>10</v>
      </c>
      <c r="L4" s="3" t="s">
        <v>11</v>
      </c>
      <c r="M4" s="3" t="s">
        <v>12</v>
      </c>
      <c r="N4" s="3" t="s">
        <v>13</v>
      </c>
      <c r="O4" s="3" t="s">
        <v>14</v>
      </c>
      <c r="P4" s="2"/>
      <c r="Q4" s="3" t="s">
        <v>23</v>
      </c>
      <c r="T4" s="33" t="s">
        <v>66</v>
      </c>
      <c r="U4" t="s">
        <v>64</v>
      </c>
      <c r="V4" t="s">
        <v>65</v>
      </c>
      <c r="W4" t="s">
        <v>74</v>
      </c>
    </row>
    <row r="5" spans="1:23" x14ac:dyDescent="0.25">
      <c r="A5" s="1"/>
      <c r="B5" s="1" t="s">
        <v>21</v>
      </c>
      <c r="C5" s="1">
        <v>248537</v>
      </c>
      <c r="D5" s="1">
        <v>0</v>
      </c>
      <c r="E5" s="1">
        <v>177697</v>
      </c>
      <c r="F5" s="1">
        <v>56724</v>
      </c>
      <c r="G5" s="1">
        <v>198246</v>
      </c>
      <c r="H5" s="1">
        <v>0</v>
      </c>
      <c r="I5" s="1">
        <v>49310</v>
      </c>
      <c r="J5" s="1">
        <v>177483</v>
      </c>
      <c r="K5" s="1">
        <v>0</v>
      </c>
      <c r="L5" s="1">
        <v>0</v>
      </c>
      <c r="M5" s="1">
        <v>5631</v>
      </c>
      <c r="N5" s="1">
        <v>0</v>
      </c>
      <c r="O5" s="1">
        <f>SUM(C5:N5)</f>
        <v>913628</v>
      </c>
      <c r="P5">
        <f>SUM(C5:N5)</f>
        <v>913628</v>
      </c>
      <c r="Q5" s="57" t="str">
        <f>IF(ABS(P5-O5)&lt;3," ","Sum not correct")</f>
        <v xml:space="preserve"> </v>
      </c>
      <c r="S5" t="str">
        <f>VLOOKUP(B5,'Calcs and References'!A$2:E$9,5,FALSE)</f>
        <v>ELEC</v>
      </c>
      <c r="T5">
        <f>VLOOKUP(B5,'Calcs and References'!A$2:E$9,4,FALSE)*O5</f>
        <v>3117.4266439199996</v>
      </c>
      <c r="U5">
        <f>T5*1000/'Basic Info'!$D$18</f>
        <v>35.027265662022465</v>
      </c>
      <c r="V5">
        <f>U5*VLOOKUP(B5,'Calcs and References'!A$2:D$9,3,FALSE)</f>
        <v>89.31952743815728</v>
      </c>
      <c r="W5">
        <f>VLOOKUP(B5,'Calcs and References'!A$2:E$9,2,FALSE)*O5</f>
        <v>237.9220014639744</v>
      </c>
    </row>
    <row r="6" spans="1:23" x14ac:dyDescent="0.25">
      <c r="A6" s="1"/>
      <c r="B6" s="1" t="s">
        <v>22</v>
      </c>
      <c r="C6" s="1">
        <v>0</v>
      </c>
      <c r="D6" s="1">
        <v>0</v>
      </c>
      <c r="E6" s="1">
        <v>0</v>
      </c>
      <c r="F6" s="1">
        <v>2832</v>
      </c>
      <c r="G6" s="1">
        <v>0</v>
      </c>
      <c r="H6" s="1">
        <v>0</v>
      </c>
      <c r="I6" s="1">
        <v>0</v>
      </c>
      <c r="J6" s="1">
        <v>0</v>
      </c>
      <c r="K6" s="1">
        <v>0</v>
      </c>
      <c r="L6" s="1">
        <v>0</v>
      </c>
      <c r="M6" s="1">
        <v>0</v>
      </c>
      <c r="N6" s="1">
        <v>0</v>
      </c>
      <c r="O6" s="1">
        <v>2832</v>
      </c>
      <c r="P6">
        <f>SUM(C6:N6)</f>
        <v>2832</v>
      </c>
      <c r="Q6" s="57" t="str">
        <f t="shared" ref="Q6:Q8" si="0">IF(ABS(P6-O6)&lt;3," ","Sum not correct")</f>
        <v xml:space="preserve"> </v>
      </c>
      <c r="S6" t="str">
        <f>VLOOKUP(B6,'Calcs and References'!A$2:E$9,5,FALSE)</f>
        <v>FF</v>
      </c>
      <c r="T6">
        <f>VLOOKUP(B6,'Calcs and References'!A$2:E$9,4,FALSE)*O6</f>
        <v>283.13231520000005</v>
      </c>
      <c r="U6">
        <f>T6*1000/'Basic Info'!$D$18</f>
        <v>3.1812619685393266</v>
      </c>
      <c r="V6">
        <f>U6*VLOOKUP(B6,'Calcs and References'!A$2:D$9,3,FALSE)</f>
        <v>3.3403250669662929</v>
      </c>
      <c r="W6">
        <f>VLOOKUP(B6,'Calcs and References'!A$2:E$9,2,FALSE)*O6</f>
        <v>14.156615760000003</v>
      </c>
    </row>
    <row r="7" spans="1:23" x14ac:dyDescent="0.25">
      <c r="A7" s="1"/>
      <c r="B7" s="1" t="s">
        <v>132</v>
      </c>
      <c r="C7" s="1">
        <v>0</v>
      </c>
      <c r="D7" s="1">
        <v>0</v>
      </c>
      <c r="E7" s="1">
        <v>0</v>
      </c>
      <c r="F7" s="1">
        <v>0</v>
      </c>
      <c r="G7" s="1">
        <v>0</v>
      </c>
      <c r="H7" s="1">
        <v>0</v>
      </c>
      <c r="I7" s="1">
        <v>0</v>
      </c>
      <c r="J7" s="1">
        <v>0</v>
      </c>
      <c r="K7" s="1">
        <v>0</v>
      </c>
      <c r="L7" s="1">
        <v>0</v>
      </c>
      <c r="M7" s="1">
        <v>0</v>
      </c>
      <c r="N7" s="1">
        <v>0</v>
      </c>
      <c r="O7" s="1">
        <v>0</v>
      </c>
      <c r="P7">
        <f t="shared" ref="P7:P8" si="1">SUM(C7:N7)</f>
        <v>0</v>
      </c>
      <c r="Q7" s="57" t="str">
        <f t="shared" si="0"/>
        <v xml:space="preserve"> </v>
      </c>
      <c r="S7" t="str">
        <f>VLOOKUP(B7,'Calcs and References'!A$2:E$9,5,FALSE)</f>
        <v>FF</v>
      </c>
      <c r="T7">
        <f>VLOOKUP(B7,'Calcs and References'!A$2:E$9,4,FALSE)*O7</f>
        <v>0</v>
      </c>
      <c r="U7">
        <f>T7*1000/'Basic Info'!$D$18</f>
        <v>0</v>
      </c>
      <c r="V7">
        <f>U7*VLOOKUP(B7,'Calcs and References'!A$2:D$9,3,FALSE)</f>
        <v>0</v>
      </c>
      <c r="W7">
        <f>VLOOKUP(B7,'Calcs and References'!A$2:E$9,2,FALSE)*O7</f>
        <v>0</v>
      </c>
    </row>
    <row r="8" spans="1:23" x14ac:dyDescent="0.25">
      <c r="A8" s="1"/>
      <c r="B8" s="1"/>
      <c r="C8" s="1"/>
      <c r="D8" s="1"/>
      <c r="E8" s="1"/>
      <c r="F8" s="1"/>
      <c r="G8" s="1"/>
      <c r="H8" s="1"/>
      <c r="I8" s="1"/>
      <c r="J8" s="1"/>
      <c r="K8" s="1"/>
      <c r="L8" s="1"/>
      <c r="M8" s="1"/>
      <c r="N8" s="1"/>
      <c r="O8" s="1"/>
      <c r="P8">
        <f t="shared" si="1"/>
        <v>0</v>
      </c>
      <c r="Q8" s="57" t="str">
        <f t="shared" si="0"/>
        <v xml:space="preserve"> </v>
      </c>
      <c r="S8" t="e">
        <f>VLOOKUP(B8,'Calcs and References'!A$2:E$9,5,FALSE)</f>
        <v>#N/A</v>
      </c>
      <c r="T8" t="e">
        <f>VLOOKUP(B8,'Calcs and References'!A$2:E$9,4,FALSE)*O8</f>
        <v>#N/A</v>
      </c>
      <c r="U8" t="e">
        <f>T8*1000/'Basic Info'!$D$18</f>
        <v>#N/A</v>
      </c>
      <c r="V8" t="e">
        <f>U8*VLOOKUP(B8,'Calcs and References'!A$2:D$9,3,FALSE)</f>
        <v>#N/A</v>
      </c>
      <c r="W8" t="e">
        <f>VLOOKUP(B8,'Calcs and References'!A$2:E$9,2,FALSE)*O8</f>
        <v>#N/A</v>
      </c>
    </row>
    <row r="9" spans="1:23" x14ac:dyDescent="0.25">
      <c r="V9">
        <f>SUMIF(V5:V8,"&lt;&gt;#N/A")</f>
        <v>92.659852505123567</v>
      </c>
      <c r="W9">
        <f>SUMIF(W5:W8,"&lt;&gt;#N/A")</f>
        <v>252.07861722397439</v>
      </c>
    </row>
    <row r="10" spans="1:23" x14ac:dyDescent="0.25">
      <c r="T10" t="s">
        <v>70</v>
      </c>
      <c r="U10" t="s">
        <v>71</v>
      </c>
      <c r="V10" t="s">
        <v>123</v>
      </c>
    </row>
    <row r="11" spans="1:23" x14ac:dyDescent="0.25">
      <c r="A11" t="s">
        <v>25</v>
      </c>
      <c r="T11">
        <f>SUMIF(S5:S8,S2,O5:O8)</f>
        <v>913628</v>
      </c>
      <c r="U11" s="34">
        <f>SUMIF(S5:S8,S2,T5:T8)</f>
        <v>3117.4266439199996</v>
      </c>
      <c r="V11">
        <f>U11*'Calcs and References'!C2</f>
        <v>7949.4379419959987</v>
      </c>
    </row>
    <row r="12" spans="1:23" ht="45" x14ac:dyDescent="0.25">
      <c r="A12" s="2" t="s">
        <v>26</v>
      </c>
      <c r="B12" s="2" t="s">
        <v>27</v>
      </c>
      <c r="C12" s="2" t="s">
        <v>33</v>
      </c>
      <c r="D12" s="3" t="s">
        <v>28</v>
      </c>
      <c r="E12" s="3" t="s">
        <v>124</v>
      </c>
      <c r="F12" s="3" t="s">
        <v>29</v>
      </c>
      <c r="G12" s="3" t="s">
        <v>30</v>
      </c>
      <c r="H12" s="3" t="s">
        <v>31</v>
      </c>
      <c r="U12" t="s">
        <v>72</v>
      </c>
    </row>
    <row r="13" spans="1:23" x14ac:dyDescent="0.25">
      <c r="A13" s="1"/>
      <c r="B13" s="1" t="s">
        <v>21</v>
      </c>
      <c r="C13" s="1"/>
      <c r="D13" s="1">
        <v>913628</v>
      </c>
      <c r="E13" s="1" t="s">
        <v>125</v>
      </c>
      <c r="F13" s="1">
        <f>D13*G13</f>
        <v>266048.47360000003</v>
      </c>
      <c r="G13" s="1">
        <v>0.29120000000000001</v>
      </c>
      <c r="H13" s="1"/>
      <c r="U13">
        <f>SUMIF(S5:S8,T2,T5:T8)</f>
        <v>283.13231520000005</v>
      </c>
      <c r="V13">
        <f>U13*'Calcs and References'!C3</f>
        <v>297.28893096000007</v>
      </c>
    </row>
    <row r="14" spans="1:23" x14ac:dyDescent="0.25">
      <c r="A14" s="1"/>
      <c r="B14" s="1" t="s">
        <v>22</v>
      </c>
      <c r="C14" s="1"/>
      <c r="D14" s="1">
        <v>2832</v>
      </c>
      <c r="E14" s="1" t="s">
        <v>126</v>
      </c>
      <c r="F14" s="1">
        <f>G14*D14</f>
        <v>3426.72</v>
      </c>
      <c r="G14" s="1">
        <v>1.21</v>
      </c>
      <c r="H14" s="1"/>
      <c r="U14" t="s">
        <v>73</v>
      </c>
    </row>
    <row r="15" spans="1:23" x14ac:dyDescent="0.25">
      <c r="A15" s="1"/>
      <c r="B15" s="1" t="s">
        <v>132</v>
      </c>
      <c r="C15" s="1"/>
      <c r="D15" s="1">
        <v>0</v>
      </c>
      <c r="E15" s="1" t="s">
        <v>154</v>
      </c>
      <c r="F15" s="1">
        <f>D15*G15</f>
        <v>0</v>
      </c>
      <c r="G15" s="1">
        <v>0</v>
      </c>
      <c r="H15" s="1"/>
      <c r="U15">
        <f>SUMIF(S5:S8,U2,T5:T8)</f>
        <v>0</v>
      </c>
      <c r="V15">
        <f>U15*'Calcs and References'!C6</f>
        <v>0</v>
      </c>
    </row>
    <row r="16" spans="1:23" x14ac:dyDescent="0.25">
      <c r="A16" s="1"/>
      <c r="B16" s="1"/>
      <c r="C16" s="1"/>
      <c r="D16" s="1"/>
      <c r="E16" s="1"/>
      <c r="F16" s="1"/>
      <c r="G16" s="1"/>
      <c r="H16" s="1"/>
    </row>
    <row r="17" spans="6:8" ht="30" x14ac:dyDescent="0.25">
      <c r="F17" s="3" t="s">
        <v>32</v>
      </c>
      <c r="G17" s="6" t="s">
        <v>23</v>
      </c>
      <c r="H17" s="6"/>
    </row>
    <row r="18" spans="6:8" x14ac:dyDescent="0.25">
      <c r="F18" s="1">
        <f>SUM(F13:F15)</f>
        <v>269475.1936</v>
      </c>
      <c r="G18" s="165" t="str">
        <f>IF(ABS(F13+F14+F15+F16-F18)&lt;3," ","Sum not correct")</f>
        <v xml:space="preserve"> </v>
      </c>
      <c r="H18" s="166"/>
    </row>
  </sheetData>
  <mergeCells count="1">
    <mergeCell ref="G18:H1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3837BB8-5630-4DC3-B404-BE35E07E380A}">
          <x14:formula1>
            <xm:f>'Calcs and References'!$A$2:$A$9</xm:f>
          </x14:formula1>
          <xm:sqref>B5:B8 B13:B16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BC388-4E26-43DB-A5FE-F84F1C3708A0}">
  <dimension ref="A1:W18"/>
  <sheetViews>
    <sheetView workbookViewId="0">
      <selection activeCell="C34" sqref="C34"/>
    </sheetView>
  </sheetViews>
  <sheetFormatPr defaultRowHeight="15" x14ac:dyDescent="0.25"/>
  <cols>
    <col min="1" max="1" width="29.85546875" customWidth="1"/>
    <col min="2" max="2" width="18.7109375" customWidth="1"/>
    <col min="4" max="4" width="14.7109375" customWidth="1"/>
    <col min="16" max="16" width="9.140625" hidden="1" customWidth="1"/>
    <col min="17" max="17" width="18.85546875" customWidth="1"/>
    <col min="21" max="21" width="15.5703125" customWidth="1"/>
    <col min="22" max="22" width="12" bestFit="1" customWidth="1"/>
  </cols>
  <sheetData>
    <row r="1" spans="1:23" x14ac:dyDescent="0.25">
      <c r="A1" t="s">
        <v>34</v>
      </c>
    </row>
    <row r="2" spans="1:23" x14ac:dyDescent="0.25">
      <c r="S2" t="s">
        <v>69</v>
      </c>
      <c r="T2" t="s">
        <v>67</v>
      </c>
      <c r="U2" t="s">
        <v>68</v>
      </c>
    </row>
    <row r="3" spans="1:23" x14ac:dyDescent="0.25">
      <c r="A3" t="s">
        <v>1</v>
      </c>
    </row>
    <row r="4" spans="1:23" ht="30" x14ac:dyDescent="0.25">
      <c r="A4" s="2" t="s">
        <v>15</v>
      </c>
      <c r="B4" s="2" t="s">
        <v>16</v>
      </c>
      <c r="C4" s="2" t="s">
        <v>2</v>
      </c>
      <c r="D4" s="3" t="s">
        <v>3</v>
      </c>
      <c r="E4" s="3" t="s">
        <v>4</v>
      </c>
      <c r="F4" s="3" t="s">
        <v>5</v>
      </c>
      <c r="G4" s="3" t="s">
        <v>6</v>
      </c>
      <c r="H4" s="3" t="s">
        <v>7</v>
      </c>
      <c r="I4" s="3" t="s">
        <v>8</v>
      </c>
      <c r="J4" s="3" t="s">
        <v>9</v>
      </c>
      <c r="K4" s="3" t="s">
        <v>10</v>
      </c>
      <c r="L4" s="3" t="s">
        <v>11</v>
      </c>
      <c r="M4" s="3" t="s">
        <v>12</v>
      </c>
      <c r="N4" s="3" t="s">
        <v>13</v>
      </c>
      <c r="O4" s="3" t="s">
        <v>14</v>
      </c>
      <c r="P4" s="2"/>
      <c r="Q4" s="3" t="s">
        <v>23</v>
      </c>
      <c r="T4" s="33" t="s">
        <v>66</v>
      </c>
      <c r="U4" t="s">
        <v>64</v>
      </c>
      <c r="V4" t="s">
        <v>65</v>
      </c>
      <c r="W4" t="s">
        <v>74</v>
      </c>
    </row>
    <row r="5" spans="1:23" x14ac:dyDescent="0.25">
      <c r="A5" s="1"/>
      <c r="B5" s="1" t="s">
        <v>21</v>
      </c>
      <c r="C5" s="1">
        <v>248537</v>
      </c>
      <c r="D5" s="1">
        <v>0</v>
      </c>
      <c r="E5" s="1">
        <v>177697</v>
      </c>
      <c r="F5" s="1">
        <v>57043</v>
      </c>
      <c r="G5" s="1">
        <v>190477</v>
      </c>
      <c r="H5" s="1">
        <v>0</v>
      </c>
      <c r="I5" s="1">
        <v>49310</v>
      </c>
      <c r="J5" s="1">
        <v>170360</v>
      </c>
      <c r="K5" s="1">
        <v>0</v>
      </c>
      <c r="L5" s="1">
        <v>0</v>
      </c>
      <c r="M5" s="1">
        <v>5631</v>
      </c>
      <c r="N5" s="1">
        <v>0</v>
      </c>
      <c r="O5" s="1">
        <f>SUM(C5:N5)</f>
        <v>899055</v>
      </c>
      <c r="P5">
        <f>SUM(C5:N5)</f>
        <v>899055</v>
      </c>
      <c r="Q5" s="57" t="str">
        <f>IF(ABS(P5-O5)&lt;3," ","Sum not correct")</f>
        <v xml:space="preserve"> </v>
      </c>
      <c r="S5" t="str">
        <f>VLOOKUP(B5,'Calcs and References'!A$2:E$9,5,FALSE)</f>
        <v>ELEC</v>
      </c>
      <c r="T5">
        <f>VLOOKUP(B5,'Calcs and References'!A$2:E$9,4,FALSE)*O5</f>
        <v>3067.7015276999996</v>
      </c>
      <c r="U5">
        <f>T5*1000/'Basic Info'!$D$18</f>
        <v>34.468556491011228</v>
      </c>
      <c r="V5">
        <f>U5*VLOOKUP(B5,'Calcs and References'!A$2:D$9,3,FALSE)</f>
        <v>87.894819052078631</v>
      </c>
      <c r="W5">
        <f>VLOOKUP(B5,'Calcs and References'!A$2:E$9,2,FALSE)*O5</f>
        <v>234.12698059406401</v>
      </c>
    </row>
    <row r="6" spans="1:23" x14ac:dyDescent="0.25">
      <c r="A6" s="1"/>
      <c r="B6" s="1" t="s">
        <v>22</v>
      </c>
      <c r="C6" s="1">
        <v>0</v>
      </c>
      <c r="D6" s="1">
        <v>0</v>
      </c>
      <c r="E6" s="1">
        <v>0</v>
      </c>
      <c r="F6" s="1">
        <v>0</v>
      </c>
      <c r="G6" s="1">
        <v>0</v>
      </c>
      <c r="H6" s="1">
        <v>0</v>
      </c>
      <c r="I6" s="1">
        <v>0</v>
      </c>
      <c r="J6" s="1">
        <v>0</v>
      </c>
      <c r="K6" s="1">
        <v>0</v>
      </c>
      <c r="L6" s="1">
        <v>0</v>
      </c>
      <c r="M6" s="1">
        <v>0</v>
      </c>
      <c r="N6" s="1">
        <v>0</v>
      </c>
      <c r="O6" s="1">
        <v>0</v>
      </c>
      <c r="P6">
        <f>SUM(C6:O6)</f>
        <v>0</v>
      </c>
      <c r="Q6" s="57" t="str">
        <f t="shared" ref="Q6:Q8" si="0">IF(ABS(P6-O6)&lt;3," ","Sum not correct")</f>
        <v xml:space="preserve"> </v>
      </c>
      <c r="S6" t="str">
        <f>VLOOKUP(B6,'Calcs and References'!A$2:E$9,5,FALSE)</f>
        <v>FF</v>
      </c>
      <c r="T6">
        <f>VLOOKUP(B6,'Calcs and References'!A$2:E$9,4,FALSE)*O6</f>
        <v>0</v>
      </c>
      <c r="U6">
        <f>T6*1000/'Basic Info'!$D$18</f>
        <v>0</v>
      </c>
      <c r="V6">
        <f>U6*VLOOKUP(B6,'Calcs and References'!A$2:D$9,3,FALSE)</f>
        <v>0</v>
      </c>
      <c r="W6">
        <f>VLOOKUP(B6,'Calcs and References'!A$2:E$9,2,FALSE)*O6</f>
        <v>0</v>
      </c>
    </row>
    <row r="7" spans="1:23" x14ac:dyDescent="0.25">
      <c r="A7" s="1"/>
      <c r="B7" s="1" t="s">
        <v>132</v>
      </c>
      <c r="C7" s="1">
        <v>0</v>
      </c>
      <c r="D7" s="1">
        <v>0</v>
      </c>
      <c r="E7" s="1">
        <v>0</v>
      </c>
      <c r="F7" s="1">
        <v>3795</v>
      </c>
      <c r="G7" s="1">
        <v>0</v>
      </c>
      <c r="H7" s="1">
        <v>0</v>
      </c>
      <c r="I7" s="1">
        <v>0</v>
      </c>
      <c r="J7" s="1">
        <v>0</v>
      </c>
      <c r="K7" s="1">
        <v>0</v>
      </c>
      <c r="L7" s="1">
        <v>0</v>
      </c>
      <c r="M7" s="1">
        <v>0</v>
      </c>
      <c r="N7" s="1">
        <v>0</v>
      </c>
      <c r="O7" s="1">
        <v>3795</v>
      </c>
      <c r="P7">
        <f>SUM(C7:N7)</f>
        <v>3795</v>
      </c>
      <c r="Q7" s="57" t="str">
        <f>IF(ABS(P7-O7)&lt;3," ","Sum not correct")</f>
        <v xml:space="preserve"> </v>
      </c>
      <c r="S7" t="str">
        <f>VLOOKUP(B7,'Calcs and References'!A$2:E$9,5,FALSE)</f>
        <v>FF</v>
      </c>
      <c r="T7">
        <f>VLOOKUP(B7,'Calcs and References'!A$2:E$9,4,FALSE)*O7</f>
        <v>531.30000000000007</v>
      </c>
      <c r="U7">
        <f>T7*1000/'Basic Info'!$D$18</f>
        <v>5.9696629213483163</v>
      </c>
      <c r="V7">
        <f>U7*VLOOKUP(B7,'Calcs and References'!A$2:D$9,3,FALSE)</f>
        <v>6.0293595505617992</v>
      </c>
      <c r="W7">
        <f>VLOOKUP(B7,'Calcs and References'!A$2:E$9,2,FALSE)*O7</f>
        <v>39.390582000000002</v>
      </c>
    </row>
    <row r="8" spans="1:23" x14ac:dyDescent="0.25">
      <c r="A8" s="1"/>
      <c r="B8" s="1"/>
      <c r="C8" s="1"/>
      <c r="D8" s="1"/>
      <c r="E8" s="1"/>
      <c r="F8" s="1"/>
      <c r="G8" s="1"/>
      <c r="H8" s="1"/>
      <c r="I8" s="1"/>
      <c r="J8" s="1"/>
      <c r="K8" s="1"/>
      <c r="L8" s="1"/>
      <c r="M8" s="1"/>
      <c r="N8" s="1"/>
      <c r="O8" s="1"/>
      <c r="P8">
        <f t="shared" ref="P8" si="1">SUM(C8:N8)</f>
        <v>0</v>
      </c>
      <c r="Q8" s="57" t="str">
        <f t="shared" si="0"/>
        <v xml:space="preserve"> </v>
      </c>
      <c r="S8" t="e">
        <f>VLOOKUP(B8,'Calcs and References'!A$2:E$9,5,FALSE)</f>
        <v>#N/A</v>
      </c>
      <c r="T8" t="e">
        <f>VLOOKUP(B8,'Calcs and References'!A$2:E$9,4,FALSE)*O8</f>
        <v>#N/A</v>
      </c>
      <c r="U8" t="e">
        <f>T8*1000/'Basic Info'!$D$18</f>
        <v>#N/A</v>
      </c>
      <c r="V8" t="e">
        <f>U8*VLOOKUP(B8,'Calcs and References'!A$2:D$9,3,FALSE)</f>
        <v>#N/A</v>
      </c>
      <c r="W8" t="e">
        <f>VLOOKUP(B8,'Calcs and References'!A$2:E$9,2,FALSE)*O8</f>
        <v>#N/A</v>
      </c>
    </row>
    <row r="9" spans="1:23" x14ac:dyDescent="0.25">
      <c r="V9">
        <f>SUMIF(V5:V8,"&lt;&gt;#N/A")</f>
        <v>93.924178602640424</v>
      </c>
      <c r="W9">
        <f>SUMIF(W5:W8,"&lt;&gt;#N/A")</f>
        <v>273.51756259406403</v>
      </c>
    </row>
    <row r="10" spans="1:23" x14ac:dyDescent="0.25">
      <c r="T10" t="s">
        <v>70</v>
      </c>
      <c r="U10" t="s">
        <v>71</v>
      </c>
      <c r="V10" t="s">
        <v>123</v>
      </c>
    </row>
    <row r="11" spans="1:23" x14ac:dyDescent="0.25">
      <c r="A11" t="s">
        <v>25</v>
      </c>
      <c r="T11">
        <f>SUMIF(S5:S8,S2,O5:O8)</f>
        <v>899055</v>
      </c>
      <c r="U11" s="34">
        <f>SUMIF(S5:S8,S2,T5:T8)</f>
        <v>3067.7015276999996</v>
      </c>
      <c r="V11">
        <f>U11*'Calcs and References'!C2</f>
        <v>7822.6388956349983</v>
      </c>
    </row>
    <row r="12" spans="1:23" ht="45" x14ac:dyDescent="0.25">
      <c r="A12" s="2" t="s">
        <v>26</v>
      </c>
      <c r="B12" s="2" t="s">
        <v>27</v>
      </c>
      <c r="C12" s="2" t="s">
        <v>33</v>
      </c>
      <c r="D12" s="3" t="s">
        <v>28</v>
      </c>
      <c r="E12" s="3" t="s">
        <v>124</v>
      </c>
      <c r="F12" s="3" t="s">
        <v>29</v>
      </c>
      <c r="G12" s="3" t="s">
        <v>30</v>
      </c>
      <c r="H12" s="3" t="s">
        <v>31</v>
      </c>
      <c r="U12" t="s">
        <v>72</v>
      </c>
    </row>
    <row r="13" spans="1:23" x14ac:dyDescent="0.25">
      <c r="A13" s="1"/>
      <c r="B13" s="1" t="s">
        <v>21</v>
      </c>
      <c r="C13" s="1"/>
      <c r="D13" s="1">
        <v>1052468</v>
      </c>
      <c r="E13" s="1" t="s">
        <v>125</v>
      </c>
      <c r="F13" s="1">
        <v>306478</v>
      </c>
      <c r="G13" s="1">
        <v>0.29120000000000001</v>
      </c>
      <c r="H13" s="1"/>
      <c r="U13">
        <f>SUMIF(S5:S8,T2,T5:T8)</f>
        <v>531.30000000000007</v>
      </c>
      <c r="V13">
        <f>U13*'Calcs and References'!C3</f>
        <v>557.86500000000012</v>
      </c>
    </row>
    <row r="14" spans="1:23" x14ac:dyDescent="0.25">
      <c r="A14" s="1"/>
      <c r="B14" s="1" t="s">
        <v>22</v>
      </c>
      <c r="C14" s="1"/>
      <c r="D14" s="1">
        <v>0</v>
      </c>
      <c r="E14" s="1" t="s">
        <v>126</v>
      </c>
      <c r="F14" s="1">
        <v>0</v>
      </c>
      <c r="G14" s="1">
        <v>0</v>
      </c>
      <c r="H14" s="1"/>
      <c r="U14" t="s">
        <v>73</v>
      </c>
    </row>
    <row r="15" spans="1:23" x14ac:dyDescent="0.25">
      <c r="A15" s="1"/>
      <c r="B15" s="1" t="s">
        <v>132</v>
      </c>
      <c r="C15" s="1"/>
      <c r="D15" s="1">
        <v>3795</v>
      </c>
      <c r="E15" s="1" t="s">
        <v>154</v>
      </c>
      <c r="F15" s="1">
        <v>4516</v>
      </c>
      <c r="G15" s="1">
        <v>1.19</v>
      </c>
      <c r="H15" s="1"/>
      <c r="U15">
        <f>SUMIF(S5:S8,U2,T5:T8)</f>
        <v>0</v>
      </c>
      <c r="V15">
        <f>U15*'Calcs and References'!C6</f>
        <v>0</v>
      </c>
    </row>
    <row r="16" spans="1:23" x14ac:dyDescent="0.25">
      <c r="A16" s="1"/>
      <c r="B16" s="1"/>
      <c r="C16" s="1"/>
      <c r="D16" s="1"/>
      <c r="E16" s="1"/>
      <c r="F16" s="1"/>
      <c r="G16" s="1"/>
      <c r="H16" s="1"/>
    </row>
    <row r="17" spans="6:8" ht="30" x14ac:dyDescent="0.25">
      <c r="F17" s="3" t="s">
        <v>32</v>
      </c>
      <c r="G17" s="6" t="s">
        <v>23</v>
      </c>
      <c r="H17" s="6"/>
    </row>
    <row r="18" spans="6:8" x14ac:dyDescent="0.25">
      <c r="F18" s="1">
        <f>306478+4516</f>
        <v>310994</v>
      </c>
      <c r="G18" s="165" t="str">
        <f>IF(ABS(F13+F14+F15+F16-F18)&lt;3," ","Sum not correct")</f>
        <v xml:space="preserve"> </v>
      </c>
      <c r="H18" s="166"/>
    </row>
  </sheetData>
  <mergeCells count="1">
    <mergeCell ref="G18:H18"/>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B1334EB-222F-46FE-AF7F-F63C0BDA4AE2}">
          <x14:formula1>
            <xm:f>'Calcs and References'!$A$2:$A$9</xm:f>
          </x14:formula1>
          <xm:sqref>B5:B8 B13:B16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8DD01-D182-493E-B50B-064745C7A36C}">
  <dimension ref="A1:W21"/>
  <sheetViews>
    <sheetView workbookViewId="0">
      <selection activeCell="F18" sqref="F18"/>
    </sheetView>
  </sheetViews>
  <sheetFormatPr defaultRowHeight="15" x14ac:dyDescent="0.25"/>
  <cols>
    <col min="1" max="1" width="29.85546875" customWidth="1"/>
    <col min="2" max="2" width="18.7109375" customWidth="1"/>
    <col min="4" max="4" width="14.7109375" customWidth="1"/>
    <col min="16" max="16" width="9.140625" hidden="1" customWidth="1"/>
    <col min="17" max="17" width="18.85546875" customWidth="1"/>
    <col min="19" max="19" width="9.140625" customWidth="1"/>
    <col min="20" max="20" width="13.42578125" customWidth="1"/>
    <col min="21" max="21" width="14.7109375" customWidth="1"/>
    <col min="22" max="22" width="11.28515625" customWidth="1"/>
    <col min="23" max="23" width="9.140625" customWidth="1"/>
  </cols>
  <sheetData>
    <row r="1" spans="1:23" x14ac:dyDescent="0.25">
      <c r="A1" t="s">
        <v>35</v>
      </c>
    </row>
    <row r="2" spans="1:23" x14ac:dyDescent="0.25">
      <c r="S2" t="s">
        <v>69</v>
      </c>
      <c r="T2" t="s">
        <v>67</v>
      </c>
      <c r="U2" t="s">
        <v>68</v>
      </c>
    </row>
    <row r="3" spans="1:23" x14ac:dyDescent="0.25">
      <c r="A3" t="s">
        <v>1</v>
      </c>
    </row>
    <row r="4" spans="1:23" ht="30" x14ac:dyDescent="0.25">
      <c r="A4" s="2" t="s">
        <v>15</v>
      </c>
      <c r="B4" s="2" t="s">
        <v>16</v>
      </c>
      <c r="C4" s="2" t="s">
        <v>2</v>
      </c>
      <c r="D4" s="3" t="s">
        <v>3</v>
      </c>
      <c r="E4" s="3" t="s">
        <v>4</v>
      </c>
      <c r="F4" s="3" t="s">
        <v>5</v>
      </c>
      <c r="G4" s="3" t="s">
        <v>6</v>
      </c>
      <c r="H4" s="3" t="s">
        <v>7</v>
      </c>
      <c r="I4" s="3" t="s">
        <v>8</v>
      </c>
      <c r="J4" s="3" t="s">
        <v>9</v>
      </c>
      <c r="K4" s="3" t="s">
        <v>10</v>
      </c>
      <c r="L4" s="3" t="s">
        <v>11</v>
      </c>
      <c r="M4" s="3" t="s">
        <v>12</v>
      </c>
      <c r="N4" s="3" t="s">
        <v>13</v>
      </c>
      <c r="O4" s="3" t="s">
        <v>14</v>
      </c>
      <c r="P4" s="2"/>
      <c r="Q4" s="3" t="s">
        <v>23</v>
      </c>
      <c r="T4" s="33" t="s">
        <v>66</v>
      </c>
      <c r="U4" t="s">
        <v>64</v>
      </c>
      <c r="V4" t="s">
        <v>65</v>
      </c>
      <c r="W4" t="s">
        <v>74</v>
      </c>
    </row>
    <row r="5" spans="1:23" x14ac:dyDescent="0.25">
      <c r="A5" s="1"/>
      <c r="B5" s="1" t="s">
        <v>21</v>
      </c>
      <c r="C5" s="1">
        <v>248537</v>
      </c>
      <c r="D5" s="1">
        <v>0</v>
      </c>
      <c r="E5" s="1">
        <v>177697</v>
      </c>
      <c r="F5" s="1">
        <v>48282</v>
      </c>
      <c r="G5" s="1">
        <v>190477</v>
      </c>
      <c r="H5" s="1">
        <v>0</v>
      </c>
      <c r="I5" s="1">
        <v>49310</v>
      </c>
      <c r="J5" s="1">
        <v>170360</v>
      </c>
      <c r="K5" s="1">
        <v>0</v>
      </c>
      <c r="L5" s="1">
        <v>0</v>
      </c>
      <c r="M5" s="1">
        <v>5631</v>
      </c>
      <c r="N5" s="1">
        <v>0</v>
      </c>
      <c r="O5" s="1">
        <f>SUM(C5:N5)</f>
        <v>890294</v>
      </c>
      <c r="P5">
        <f>SUM(C5:N5)</f>
        <v>890294</v>
      </c>
      <c r="Q5" s="57" t="str">
        <f>IF(ABS(P5-O5)&lt;3," ","Sum not correct")</f>
        <v xml:space="preserve"> </v>
      </c>
      <c r="S5" t="str">
        <f>VLOOKUP(B5,'Calcs and References'!A$2:E$9,5,FALSE)</f>
        <v>ELEC</v>
      </c>
      <c r="T5">
        <f>VLOOKUP(B5,'Calcs and References'!A$2:E$9,4,FALSE)*O5</f>
        <v>3037.8077691599997</v>
      </c>
      <c r="U5">
        <f>T5*1000/'Basic Info'!$D$18</f>
        <v>34.132671563595501</v>
      </c>
      <c r="V5">
        <f>U5*VLOOKUP(B5,'Calcs and References'!A$2:D$9,3,FALSE)</f>
        <v>87.038312487168525</v>
      </c>
      <c r="W5">
        <f>VLOOKUP(B5,'Calcs and References'!A$2:E$9,2,FALSE)*O5</f>
        <v>231.84548894229118</v>
      </c>
    </row>
    <row r="6" spans="1:23" x14ac:dyDescent="0.25">
      <c r="A6" s="1"/>
      <c r="B6" s="1" t="s">
        <v>22</v>
      </c>
      <c r="C6" s="1">
        <v>0</v>
      </c>
      <c r="D6" s="1">
        <v>0</v>
      </c>
      <c r="E6" s="1">
        <v>0</v>
      </c>
      <c r="F6" s="1">
        <v>0</v>
      </c>
      <c r="G6" s="1">
        <v>0</v>
      </c>
      <c r="H6" s="1">
        <v>0</v>
      </c>
      <c r="I6" s="1">
        <v>0</v>
      </c>
      <c r="J6" s="1">
        <v>0</v>
      </c>
      <c r="K6" s="1">
        <v>0</v>
      </c>
      <c r="L6" s="1">
        <v>0</v>
      </c>
      <c r="M6" s="1">
        <v>0</v>
      </c>
      <c r="N6" s="1">
        <v>0</v>
      </c>
      <c r="O6" s="1">
        <v>0</v>
      </c>
      <c r="P6">
        <f>SUM(C6:N6)</f>
        <v>0</v>
      </c>
      <c r="Q6" s="57" t="str">
        <f t="shared" ref="Q6:Q8" si="0">IF(ABS(P6-O6)&lt;3," ","Sum not correct")</f>
        <v xml:space="preserve"> </v>
      </c>
      <c r="S6" t="str">
        <f>VLOOKUP(B6,'Calcs and References'!A$2:E$9,5,FALSE)</f>
        <v>FF</v>
      </c>
      <c r="T6">
        <f>VLOOKUP(B6,'Calcs and References'!A$2:E$9,4,FALSE)*O6</f>
        <v>0</v>
      </c>
      <c r="U6">
        <f>T6*1000/'Basic Info'!$D$18</f>
        <v>0</v>
      </c>
      <c r="V6">
        <f>U6*VLOOKUP(B6,'Calcs and References'!A$2:D$9,3,FALSE)</f>
        <v>0</v>
      </c>
      <c r="W6">
        <f>VLOOKUP(B6,'Calcs and References'!A$2:E$9,2,FALSE)*O6</f>
        <v>0</v>
      </c>
    </row>
    <row r="7" spans="1:23" x14ac:dyDescent="0.25">
      <c r="A7" s="1"/>
      <c r="B7" s="1" t="s">
        <v>132</v>
      </c>
      <c r="C7" s="1">
        <v>0</v>
      </c>
      <c r="D7" s="1">
        <v>0</v>
      </c>
      <c r="E7" s="1">
        <v>0</v>
      </c>
      <c r="F7" s="1">
        <v>3109</v>
      </c>
      <c r="G7" s="1">
        <v>0</v>
      </c>
      <c r="H7" s="1">
        <v>0</v>
      </c>
      <c r="I7" s="1">
        <v>0</v>
      </c>
      <c r="J7" s="1">
        <v>0</v>
      </c>
      <c r="K7" s="1">
        <v>0</v>
      </c>
      <c r="L7" s="1">
        <v>0</v>
      </c>
      <c r="M7" s="1">
        <v>0</v>
      </c>
      <c r="N7" s="1">
        <v>0</v>
      </c>
      <c r="O7" s="1">
        <v>3109</v>
      </c>
      <c r="P7">
        <f t="shared" ref="P7:P8" si="1">SUM(C7:N7)</f>
        <v>3109</v>
      </c>
      <c r="Q7" s="57" t="str">
        <f t="shared" si="0"/>
        <v xml:space="preserve"> </v>
      </c>
      <c r="S7" t="str">
        <f>VLOOKUP(B7,'Calcs and References'!A$2:E$9,5,FALSE)</f>
        <v>FF</v>
      </c>
      <c r="T7">
        <f>VLOOKUP(B7,'Calcs and References'!A$2:E$9,4,FALSE)*O7</f>
        <v>435.26000000000005</v>
      </c>
      <c r="U7">
        <f>T7*1000/'Basic Info'!$D$18</f>
        <v>4.8905617977528095</v>
      </c>
      <c r="V7">
        <f>U7*VLOOKUP(B7,'Calcs and References'!A$2:D$9,3,FALSE)</f>
        <v>4.9394674157303378</v>
      </c>
      <c r="W7">
        <f>VLOOKUP(B7,'Calcs and References'!A$2:E$9,2,FALSE)*O7</f>
        <v>32.270176400000004</v>
      </c>
    </row>
    <row r="8" spans="1:23" x14ac:dyDescent="0.25">
      <c r="A8" s="1"/>
      <c r="B8" s="1"/>
      <c r="C8" s="1"/>
      <c r="D8" s="1"/>
      <c r="E8" s="1"/>
      <c r="F8" s="1"/>
      <c r="G8" s="1"/>
      <c r="H8" s="1"/>
      <c r="I8" s="1"/>
      <c r="J8" s="1"/>
      <c r="K8" s="1"/>
      <c r="L8" s="1"/>
      <c r="M8" s="1"/>
      <c r="N8" s="1"/>
      <c r="O8" s="1"/>
      <c r="P8">
        <f t="shared" si="1"/>
        <v>0</v>
      </c>
      <c r="Q8" s="57" t="str">
        <f t="shared" si="0"/>
        <v xml:space="preserve"> </v>
      </c>
      <c r="S8" t="e">
        <f>VLOOKUP(B8,'Calcs and References'!A$2:E$9,5,FALSE)</f>
        <v>#N/A</v>
      </c>
      <c r="T8" t="e">
        <f>VLOOKUP(B8,'Calcs and References'!A$2:E$9,4,FALSE)*O8</f>
        <v>#N/A</v>
      </c>
      <c r="U8" t="e">
        <f>T8*1000/'Basic Info'!$D$18</f>
        <v>#N/A</v>
      </c>
      <c r="V8" t="e">
        <f>U8*VLOOKUP(B8,'Calcs and References'!A$2:D$9,3,FALSE)</f>
        <v>#N/A</v>
      </c>
      <c r="W8" t="e">
        <f>VLOOKUP(B8,'Calcs and References'!A$2:E$9,2,FALSE)*O8</f>
        <v>#N/A</v>
      </c>
    </row>
    <row r="9" spans="1:23" x14ac:dyDescent="0.25">
      <c r="V9">
        <f>SUMIF(V5:V8,"&lt;&gt;#N/A")</f>
        <v>91.97777990289886</v>
      </c>
      <c r="W9">
        <f>SUMIF(W5:W8,"&lt;&gt;#N/A")</f>
        <v>264.11566534229121</v>
      </c>
    </row>
    <row r="10" spans="1:23" x14ac:dyDescent="0.25">
      <c r="T10" t="s">
        <v>70</v>
      </c>
      <c r="U10" t="s">
        <v>71</v>
      </c>
      <c r="V10" t="s">
        <v>123</v>
      </c>
    </row>
    <row r="11" spans="1:23" x14ac:dyDescent="0.25">
      <c r="A11" t="s">
        <v>25</v>
      </c>
      <c r="T11">
        <f>SUMIF(S5:S8,S2,O5:O8)</f>
        <v>890294</v>
      </c>
      <c r="U11" s="34">
        <f>SUMIF(S5:S8,S2,T5:T8)</f>
        <v>3037.8077691599997</v>
      </c>
      <c r="V11">
        <f>U11*'Calcs and References'!C2</f>
        <v>7746.4098113579985</v>
      </c>
    </row>
    <row r="12" spans="1:23" ht="45" x14ac:dyDescent="0.25">
      <c r="A12" s="2" t="s">
        <v>26</v>
      </c>
      <c r="B12" s="2" t="s">
        <v>27</v>
      </c>
      <c r="C12" s="2" t="s">
        <v>33</v>
      </c>
      <c r="D12" s="3" t="s">
        <v>28</v>
      </c>
      <c r="E12" s="3" t="s">
        <v>124</v>
      </c>
      <c r="F12" s="3" t="s">
        <v>29</v>
      </c>
      <c r="G12" s="3" t="s">
        <v>30</v>
      </c>
      <c r="H12" s="3" t="s">
        <v>31</v>
      </c>
      <c r="U12" t="s">
        <v>72</v>
      </c>
    </row>
    <row r="13" spans="1:23" x14ac:dyDescent="0.25">
      <c r="A13" s="1"/>
      <c r="B13" s="1" t="s">
        <v>21</v>
      </c>
      <c r="C13" s="1"/>
      <c r="D13" s="1">
        <v>890294</v>
      </c>
      <c r="E13" s="1" t="s">
        <v>125</v>
      </c>
      <c r="F13" s="1">
        <f>D13*G13</f>
        <v>259253.6128</v>
      </c>
      <c r="G13" s="1">
        <v>0.29120000000000001</v>
      </c>
      <c r="H13" s="1"/>
      <c r="U13">
        <f>SUMIF(S5:S8,T2,T5:T8)</f>
        <v>435.26000000000005</v>
      </c>
      <c r="V13">
        <f>U13*'Calcs and References'!C3</f>
        <v>457.02300000000008</v>
      </c>
    </row>
    <row r="14" spans="1:23" x14ac:dyDescent="0.25">
      <c r="A14" s="1"/>
      <c r="B14" s="1" t="s">
        <v>22</v>
      </c>
      <c r="C14" s="1"/>
      <c r="D14" s="1">
        <v>0</v>
      </c>
      <c r="E14" s="1" t="s">
        <v>126</v>
      </c>
      <c r="F14" s="1">
        <v>0</v>
      </c>
      <c r="G14" s="1">
        <v>0</v>
      </c>
      <c r="H14" s="1"/>
      <c r="U14" t="s">
        <v>73</v>
      </c>
    </row>
    <row r="15" spans="1:23" x14ac:dyDescent="0.25">
      <c r="A15" s="1"/>
      <c r="B15" s="1" t="s">
        <v>132</v>
      </c>
      <c r="C15" s="1"/>
      <c r="D15" s="1">
        <v>3109</v>
      </c>
      <c r="E15" s="1" t="s">
        <v>154</v>
      </c>
      <c r="F15" s="1">
        <f>D15*G15</f>
        <v>3699.71</v>
      </c>
      <c r="G15" s="1">
        <v>1.19</v>
      </c>
      <c r="H15" s="1"/>
      <c r="U15">
        <f>SUMIF(S5:S8,U2,T5:T8)</f>
        <v>0</v>
      </c>
      <c r="V15">
        <f>U15*'Calcs and References'!C6</f>
        <v>0</v>
      </c>
    </row>
    <row r="16" spans="1:23" x14ac:dyDescent="0.25">
      <c r="A16" s="1"/>
      <c r="B16" s="1"/>
      <c r="C16" s="1"/>
      <c r="D16" s="1"/>
      <c r="E16" s="1"/>
      <c r="F16" s="1"/>
      <c r="G16" s="1"/>
      <c r="H16" s="1"/>
    </row>
    <row r="17" spans="1:8" ht="30" x14ac:dyDescent="0.25">
      <c r="F17" s="3" t="s">
        <v>32</v>
      </c>
      <c r="G17" s="6" t="s">
        <v>23</v>
      </c>
      <c r="H17" s="6"/>
    </row>
    <row r="18" spans="1:8" x14ac:dyDescent="0.25">
      <c r="F18" s="1">
        <f>SUM(F13:F15)</f>
        <v>262953.32280000002</v>
      </c>
      <c r="G18" s="165" t="str">
        <f>IF(ABS(F13+F14+F15+F16-F18)&lt;3," ","Sum not correct")</f>
        <v xml:space="preserve"> </v>
      </c>
      <c r="H18" s="166"/>
    </row>
    <row r="20" spans="1:8" x14ac:dyDescent="0.25">
      <c r="A20" s="2" t="s">
        <v>37</v>
      </c>
    </row>
    <row r="21" spans="1:8" x14ac:dyDescent="0.25">
      <c r="A21" s="167" t="s">
        <v>153</v>
      </c>
      <c r="B21" s="167"/>
      <c r="C21" s="167"/>
      <c r="D21" s="167"/>
    </row>
  </sheetData>
  <mergeCells count="2">
    <mergeCell ref="A21:D21"/>
    <mergeCell ref="G18:H1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7627A6A-A4C8-4590-BF19-1B64B99B6B3F}">
          <x14:formula1>
            <xm:f>'Calcs and References'!$A$2:$A$9</xm:f>
          </x14:formula1>
          <xm:sqref>B13:B16 B5:B8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E97DF-A554-4252-A531-51A90BA9D87E}">
  <dimension ref="A1:W21"/>
  <sheetViews>
    <sheetView workbookViewId="0">
      <selection activeCell="A4" sqref="A4:Q18"/>
    </sheetView>
  </sheetViews>
  <sheetFormatPr defaultRowHeight="15" x14ac:dyDescent="0.25"/>
  <cols>
    <col min="1" max="1" width="29.85546875" customWidth="1"/>
    <col min="2" max="2" width="18.7109375" customWidth="1"/>
    <col min="4" max="4" width="14.7109375" customWidth="1"/>
    <col min="15" max="15" width="9.140625" customWidth="1"/>
    <col min="16" max="16" width="9.140625" hidden="1" customWidth="1"/>
    <col min="17" max="17" width="18.85546875" customWidth="1"/>
    <col min="19" max="19" width="9.140625" customWidth="1"/>
    <col min="20" max="20" width="13.42578125" customWidth="1"/>
    <col min="21" max="21" width="14.7109375" customWidth="1"/>
    <col min="22" max="22" width="11.28515625" customWidth="1"/>
    <col min="23" max="23" width="9.140625" customWidth="1"/>
  </cols>
  <sheetData>
    <row r="1" spans="1:23" x14ac:dyDescent="0.25">
      <c r="A1" t="s">
        <v>36</v>
      </c>
    </row>
    <row r="2" spans="1:23" x14ac:dyDescent="0.25">
      <c r="S2" t="s">
        <v>69</v>
      </c>
      <c r="T2" t="s">
        <v>67</v>
      </c>
      <c r="U2" t="s">
        <v>68</v>
      </c>
    </row>
    <row r="3" spans="1:23" x14ac:dyDescent="0.25">
      <c r="A3" t="s">
        <v>1</v>
      </c>
    </row>
    <row r="4" spans="1:23" ht="30" x14ac:dyDescent="0.25">
      <c r="A4" s="2" t="s">
        <v>15</v>
      </c>
      <c r="B4" s="2" t="s">
        <v>16</v>
      </c>
      <c r="C4" s="2" t="s">
        <v>2</v>
      </c>
      <c r="D4" s="3" t="s">
        <v>3</v>
      </c>
      <c r="E4" s="3" t="s">
        <v>4</v>
      </c>
      <c r="F4" s="3" t="s">
        <v>5</v>
      </c>
      <c r="G4" s="3" t="s">
        <v>6</v>
      </c>
      <c r="H4" s="3" t="s">
        <v>7</v>
      </c>
      <c r="I4" s="3" t="s">
        <v>8</v>
      </c>
      <c r="J4" s="3" t="s">
        <v>9</v>
      </c>
      <c r="K4" s="3" t="s">
        <v>10</v>
      </c>
      <c r="L4" s="3" t="s">
        <v>11</v>
      </c>
      <c r="M4" s="3" t="s">
        <v>12</v>
      </c>
      <c r="N4" s="3" t="s">
        <v>13</v>
      </c>
      <c r="O4" s="3" t="s">
        <v>14</v>
      </c>
      <c r="P4" s="2"/>
      <c r="Q4" s="3" t="s">
        <v>23</v>
      </c>
      <c r="T4" s="33" t="s">
        <v>66</v>
      </c>
      <c r="U4" t="s">
        <v>64</v>
      </c>
      <c r="V4" t="s">
        <v>65</v>
      </c>
      <c r="W4" t="s">
        <v>74</v>
      </c>
    </row>
    <row r="5" spans="1:23" x14ac:dyDescent="0.25">
      <c r="A5" s="1"/>
      <c r="B5" s="1" t="s">
        <v>21</v>
      </c>
      <c r="C5" s="1">
        <v>248537</v>
      </c>
      <c r="D5" s="1">
        <v>0</v>
      </c>
      <c r="E5" s="1">
        <v>177697</v>
      </c>
      <c r="F5" s="1">
        <v>49073</v>
      </c>
      <c r="G5" s="1">
        <v>190477</v>
      </c>
      <c r="H5" s="1">
        <v>0</v>
      </c>
      <c r="I5" s="1">
        <v>49310</v>
      </c>
      <c r="J5" s="1">
        <v>170360</v>
      </c>
      <c r="K5" s="1">
        <v>0</v>
      </c>
      <c r="L5" s="1">
        <v>0</v>
      </c>
      <c r="M5" s="1">
        <v>5631</v>
      </c>
      <c r="N5" s="1">
        <v>0</v>
      </c>
      <c r="O5" s="1">
        <f>SUM(C5:N5)</f>
        <v>891085</v>
      </c>
      <c r="P5">
        <f>SUM(C5:N5)</f>
        <v>891085</v>
      </c>
      <c r="Q5" s="57" t="str">
        <f>IF(ABS(P5-O5)&lt;3," ","Sum not correct")</f>
        <v xml:space="preserve"> </v>
      </c>
      <c r="S5" t="str">
        <f>VLOOKUP(B5,'Calcs and References'!A$2:E$9,5,FALSE)</f>
        <v>ELEC</v>
      </c>
      <c r="T5">
        <f>VLOOKUP(B5,'Calcs and References'!A$2:E$9,4,FALSE)*O5</f>
        <v>3040.5067718999999</v>
      </c>
      <c r="U5">
        <f>T5*1000/'Basic Info'!$D$18</f>
        <v>34.162997437078651</v>
      </c>
      <c r="V5">
        <f>U5*VLOOKUP(B5,'Calcs and References'!A$2:D$9,3,FALSE)</f>
        <v>87.115643464550558</v>
      </c>
      <c r="W5">
        <f>VLOOKUP(B5,'Calcs and References'!A$2:E$9,2,FALSE)*O5</f>
        <v>232.051476831408</v>
      </c>
    </row>
    <row r="6" spans="1:23" x14ac:dyDescent="0.25">
      <c r="A6" s="1"/>
      <c r="B6" s="1" t="s">
        <v>22</v>
      </c>
      <c r="C6" s="1">
        <v>0</v>
      </c>
      <c r="D6" s="1">
        <v>0</v>
      </c>
      <c r="E6" s="1">
        <v>0</v>
      </c>
      <c r="F6" s="1">
        <v>2903</v>
      </c>
      <c r="G6" s="1">
        <v>0</v>
      </c>
      <c r="H6" s="1">
        <v>0</v>
      </c>
      <c r="I6" s="1">
        <v>0</v>
      </c>
      <c r="J6" s="1">
        <v>0</v>
      </c>
      <c r="K6" s="1">
        <v>0</v>
      </c>
      <c r="L6" s="1">
        <v>0</v>
      </c>
      <c r="M6" s="1">
        <v>0</v>
      </c>
      <c r="N6" s="1">
        <v>0</v>
      </c>
      <c r="O6" s="1">
        <v>2903</v>
      </c>
      <c r="P6">
        <f>SUM(C6:N6)</f>
        <v>2903</v>
      </c>
      <c r="Q6" s="57" t="str">
        <f t="shared" ref="Q6:Q8" si="0">IF(ABS(P6-O6)&lt;3," ","Sum not correct")</f>
        <v xml:space="preserve"> </v>
      </c>
      <c r="S6" t="str">
        <f>VLOOKUP(B6,'Calcs and References'!A$2:E$9,5,FALSE)</f>
        <v>FF</v>
      </c>
      <c r="T6">
        <f>VLOOKUP(B6,'Calcs and References'!A$2:E$9,4,FALSE)*O6</f>
        <v>290.23061830000006</v>
      </c>
      <c r="U6">
        <f>T6*1000/'Basic Info'!$D$18</f>
        <v>3.2610181831460685</v>
      </c>
      <c r="V6">
        <f>U6*VLOOKUP(B6,'Calcs and References'!A$2:D$9,3,FALSE)</f>
        <v>3.4240690923033719</v>
      </c>
      <c r="W6">
        <f>VLOOKUP(B6,'Calcs and References'!A$2:E$9,2,FALSE)*O6</f>
        <v>14.511530915000003</v>
      </c>
    </row>
    <row r="7" spans="1:23" x14ac:dyDescent="0.25">
      <c r="A7" s="1"/>
      <c r="B7" s="1" t="s">
        <v>132</v>
      </c>
      <c r="C7" s="1">
        <v>0</v>
      </c>
      <c r="D7" s="1">
        <v>0</v>
      </c>
      <c r="E7" s="1">
        <v>0</v>
      </c>
      <c r="F7" s="1">
        <v>0</v>
      </c>
      <c r="G7" s="1">
        <v>0</v>
      </c>
      <c r="H7" s="1">
        <v>0</v>
      </c>
      <c r="I7" s="1">
        <v>0</v>
      </c>
      <c r="J7" s="1">
        <v>0</v>
      </c>
      <c r="K7" s="1">
        <v>0</v>
      </c>
      <c r="L7" s="1">
        <v>0</v>
      </c>
      <c r="M7" s="1">
        <v>0</v>
      </c>
      <c r="N7" s="1">
        <v>0</v>
      </c>
      <c r="O7" s="1">
        <v>0</v>
      </c>
      <c r="P7">
        <f t="shared" ref="P7:P8" si="1">SUM(C7:N7)</f>
        <v>0</v>
      </c>
      <c r="Q7" s="57" t="str">
        <f t="shared" si="0"/>
        <v xml:space="preserve"> </v>
      </c>
      <c r="S7" t="str">
        <f>VLOOKUP(B7,'Calcs and References'!A$2:E$9,5,FALSE)</f>
        <v>FF</v>
      </c>
      <c r="T7">
        <f>VLOOKUP(B7,'Calcs and References'!A$2:E$9,4,FALSE)*O7</f>
        <v>0</v>
      </c>
      <c r="U7">
        <f>T7*1000/'Basic Info'!$D$18</f>
        <v>0</v>
      </c>
      <c r="V7">
        <f>U7*VLOOKUP(B7,'Calcs and References'!A$2:D$9,3,FALSE)</f>
        <v>0</v>
      </c>
      <c r="W7">
        <f>VLOOKUP(B7,'Calcs and References'!A$2:E$9,2,FALSE)*O7</f>
        <v>0</v>
      </c>
    </row>
    <row r="8" spans="1:23" x14ac:dyDescent="0.25">
      <c r="A8" s="1"/>
      <c r="B8" s="1"/>
      <c r="C8" s="1"/>
      <c r="D8" s="1"/>
      <c r="E8" s="1"/>
      <c r="F8" s="1"/>
      <c r="G8" s="1"/>
      <c r="H8" s="1"/>
      <c r="I8" s="1"/>
      <c r="J8" s="1"/>
      <c r="K8" s="1"/>
      <c r="L8" s="1"/>
      <c r="M8" s="1"/>
      <c r="N8" s="1"/>
      <c r="O8" s="1"/>
      <c r="P8">
        <f t="shared" si="1"/>
        <v>0</v>
      </c>
      <c r="Q8" s="57" t="str">
        <f t="shared" si="0"/>
        <v xml:space="preserve"> </v>
      </c>
      <c r="S8" t="e">
        <f>VLOOKUP(B8,'Calcs and References'!A$2:E$9,5,FALSE)</f>
        <v>#N/A</v>
      </c>
      <c r="T8" t="e">
        <f>VLOOKUP(B8,'Calcs and References'!A$2:E$9,4,FALSE)*O8</f>
        <v>#N/A</v>
      </c>
      <c r="U8" t="e">
        <f>T8*1000/'Basic Info'!$D$18</f>
        <v>#N/A</v>
      </c>
      <c r="V8" t="e">
        <f>U8*VLOOKUP(B8,'Calcs and References'!A$2:D$9,3,FALSE)</f>
        <v>#N/A</v>
      </c>
      <c r="W8" t="e">
        <f>VLOOKUP(B8,'Calcs and References'!A$2:E$9,2,FALSE)*O8</f>
        <v>#N/A</v>
      </c>
    </row>
    <row r="9" spans="1:23" x14ac:dyDescent="0.25">
      <c r="V9">
        <f>SUMIF(V5:V8,"&lt;&gt;#N/A")</f>
        <v>90.539712556853928</v>
      </c>
      <c r="W9">
        <f>SUMIF(W5:W8,"&lt;&gt;#N/A")</f>
        <v>246.563007746408</v>
      </c>
    </row>
    <row r="10" spans="1:23" x14ac:dyDescent="0.25">
      <c r="T10" t="s">
        <v>70</v>
      </c>
      <c r="U10" t="s">
        <v>71</v>
      </c>
      <c r="V10" t="s">
        <v>123</v>
      </c>
    </row>
    <row r="11" spans="1:23" x14ac:dyDescent="0.25">
      <c r="A11" t="s">
        <v>25</v>
      </c>
      <c r="T11">
        <f>SUMIF(S5:S8,S2,O5:O8)</f>
        <v>891085</v>
      </c>
      <c r="U11" s="34">
        <f>SUMIF(S5:S8,S2,T5:T8)</f>
        <v>3040.5067718999999</v>
      </c>
      <c r="V11">
        <f>U11*'Calcs and References'!C2</f>
        <v>7753.2922683449988</v>
      </c>
    </row>
    <row r="12" spans="1:23" ht="45" x14ac:dyDescent="0.25">
      <c r="A12" s="2" t="s">
        <v>26</v>
      </c>
      <c r="B12" s="2" t="s">
        <v>27</v>
      </c>
      <c r="C12" s="2" t="s">
        <v>33</v>
      </c>
      <c r="D12" s="3" t="s">
        <v>28</v>
      </c>
      <c r="E12" s="3" t="s">
        <v>124</v>
      </c>
      <c r="F12" s="3" t="s">
        <v>29</v>
      </c>
      <c r="G12" s="3" t="s">
        <v>30</v>
      </c>
      <c r="H12" s="3" t="s">
        <v>31</v>
      </c>
      <c r="U12" t="s">
        <v>72</v>
      </c>
    </row>
    <row r="13" spans="1:23" x14ac:dyDescent="0.25">
      <c r="A13" s="1"/>
      <c r="B13" s="1" t="s">
        <v>21</v>
      </c>
      <c r="C13" s="1"/>
      <c r="D13" s="1">
        <v>890294</v>
      </c>
      <c r="E13" s="1" t="s">
        <v>125</v>
      </c>
      <c r="F13" s="1">
        <f>D13*G13</f>
        <v>259253.6128</v>
      </c>
      <c r="G13" s="1">
        <v>0.29120000000000001</v>
      </c>
      <c r="H13" s="1"/>
      <c r="U13">
        <f>SUMIF(S5:S8,T2,T5:T8)</f>
        <v>290.23061830000006</v>
      </c>
      <c r="V13">
        <f>U13*'Calcs and References'!C3</f>
        <v>304.7421492150001</v>
      </c>
    </row>
    <row r="14" spans="1:23" x14ac:dyDescent="0.25">
      <c r="A14" s="1"/>
      <c r="B14" s="1" t="s">
        <v>22</v>
      </c>
      <c r="C14" s="1"/>
      <c r="D14" s="1">
        <v>2903</v>
      </c>
      <c r="E14" s="1" t="s">
        <v>126</v>
      </c>
      <c r="F14" s="1">
        <f>G14*D14</f>
        <v>3512.63</v>
      </c>
      <c r="G14" s="1">
        <v>1.21</v>
      </c>
      <c r="H14" s="1"/>
      <c r="U14" t="s">
        <v>73</v>
      </c>
    </row>
    <row r="15" spans="1:23" x14ac:dyDescent="0.25">
      <c r="A15" s="1"/>
      <c r="B15" s="1" t="s">
        <v>132</v>
      </c>
      <c r="C15" s="1"/>
      <c r="D15" s="1">
        <v>0</v>
      </c>
      <c r="E15" s="1" t="s">
        <v>154</v>
      </c>
      <c r="F15" s="1">
        <f>D15*G15</f>
        <v>0</v>
      </c>
      <c r="G15" s="1">
        <v>0</v>
      </c>
      <c r="H15" s="1"/>
      <c r="U15">
        <f>SUMIF(S5:S8,U2,T5:T8)</f>
        <v>0</v>
      </c>
      <c r="V15">
        <f>U15*'Calcs and References'!C6</f>
        <v>0</v>
      </c>
    </row>
    <row r="16" spans="1:23" x14ac:dyDescent="0.25">
      <c r="A16" s="1"/>
      <c r="B16" s="1"/>
      <c r="C16" s="1"/>
      <c r="D16" s="1"/>
      <c r="E16" s="1"/>
      <c r="F16" s="1"/>
      <c r="G16" s="1"/>
      <c r="H16" s="1"/>
    </row>
    <row r="17" spans="1:8" ht="30" x14ac:dyDescent="0.25">
      <c r="F17" s="3" t="s">
        <v>32</v>
      </c>
      <c r="G17" s="6" t="s">
        <v>23</v>
      </c>
      <c r="H17" s="6"/>
    </row>
    <row r="18" spans="1:8" x14ac:dyDescent="0.25">
      <c r="F18" s="1">
        <f>SUM(F13:F15)</f>
        <v>262766.24280000001</v>
      </c>
      <c r="G18" s="165" t="str">
        <f>IF(ABS(F13+F14+F15+F16-F18)&lt;3," ","Sum not correct")</f>
        <v xml:space="preserve"> </v>
      </c>
      <c r="H18" s="166"/>
    </row>
    <row r="20" spans="1:8" x14ac:dyDescent="0.25">
      <c r="A20" s="2" t="s">
        <v>37</v>
      </c>
    </row>
    <row r="21" spans="1:8" x14ac:dyDescent="0.25">
      <c r="A21" s="167" t="s">
        <v>155</v>
      </c>
      <c r="B21" s="167"/>
      <c r="C21" s="167"/>
      <c r="D21" s="167"/>
    </row>
  </sheetData>
  <mergeCells count="2">
    <mergeCell ref="A21:D21"/>
    <mergeCell ref="G18:H1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5F462DE-AE3D-41F6-9506-A40353E720EA}">
          <x14:formula1>
            <xm:f>'Calcs and References'!$A$2:$A$9</xm:f>
          </x14:formula1>
          <xm:sqref>B5:B8 B13:B16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6C02B-4952-44E4-8530-692D3040E6F8}">
  <dimension ref="A1:W21"/>
  <sheetViews>
    <sheetView workbookViewId="0">
      <selection activeCell="D28" sqref="D28"/>
    </sheetView>
  </sheetViews>
  <sheetFormatPr defaultRowHeight="15" x14ac:dyDescent="0.25"/>
  <cols>
    <col min="1" max="1" width="29.85546875" customWidth="1"/>
    <col min="2" max="2" width="18.7109375" customWidth="1"/>
    <col min="4" max="4" width="14.7109375" customWidth="1"/>
    <col min="16" max="16" width="0" hidden="1" customWidth="1"/>
    <col min="17" max="17" width="18.85546875" customWidth="1"/>
    <col min="19" max="19" width="9.140625" customWidth="1"/>
    <col min="20" max="20" width="13.42578125" customWidth="1"/>
    <col min="21" max="21" width="14.7109375" customWidth="1"/>
    <col min="22" max="22" width="11.28515625" customWidth="1"/>
    <col min="23" max="23" width="9.140625" customWidth="1"/>
  </cols>
  <sheetData>
    <row r="1" spans="1:23" x14ac:dyDescent="0.25">
      <c r="A1" t="s">
        <v>84</v>
      </c>
    </row>
    <row r="2" spans="1:23" x14ac:dyDescent="0.25">
      <c r="S2" t="s">
        <v>69</v>
      </c>
      <c r="T2" t="s">
        <v>67</v>
      </c>
      <c r="U2" t="s">
        <v>68</v>
      </c>
    </row>
    <row r="3" spans="1:23" x14ac:dyDescent="0.25">
      <c r="A3" t="s">
        <v>1</v>
      </c>
    </row>
    <row r="4" spans="1:23" ht="30" x14ac:dyDescent="0.25">
      <c r="A4" s="2" t="s">
        <v>15</v>
      </c>
      <c r="B4" s="2" t="s">
        <v>16</v>
      </c>
      <c r="C4" s="2" t="s">
        <v>2</v>
      </c>
      <c r="D4" s="3" t="s">
        <v>3</v>
      </c>
      <c r="E4" s="3" t="s">
        <v>4</v>
      </c>
      <c r="F4" s="3" t="s">
        <v>5</v>
      </c>
      <c r="G4" s="3" t="s">
        <v>6</v>
      </c>
      <c r="H4" s="3" t="s">
        <v>7</v>
      </c>
      <c r="I4" s="3" t="s">
        <v>8</v>
      </c>
      <c r="J4" s="3" t="s">
        <v>9</v>
      </c>
      <c r="K4" s="3" t="s">
        <v>10</v>
      </c>
      <c r="L4" s="3" t="s">
        <v>11</v>
      </c>
      <c r="M4" s="3" t="s">
        <v>12</v>
      </c>
      <c r="N4" s="3" t="s">
        <v>13</v>
      </c>
      <c r="O4" s="3" t="s">
        <v>14</v>
      </c>
      <c r="P4" s="2"/>
      <c r="Q4" s="3" t="s">
        <v>23</v>
      </c>
      <c r="T4" s="33" t="s">
        <v>66</v>
      </c>
      <c r="U4" t="s">
        <v>64</v>
      </c>
      <c r="V4" t="s">
        <v>65</v>
      </c>
      <c r="W4" t="s">
        <v>74</v>
      </c>
    </row>
    <row r="5" spans="1:23" x14ac:dyDescent="0.25">
      <c r="A5" s="1"/>
      <c r="B5" s="1" t="s">
        <v>21</v>
      </c>
      <c r="C5" s="1">
        <v>248537</v>
      </c>
      <c r="D5" s="1">
        <v>0</v>
      </c>
      <c r="E5" s="1">
        <v>177697</v>
      </c>
      <c r="F5" s="1">
        <v>56724</v>
      </c>
      <c r="G5" s="1">
        <v>198246</v>
      </c>
      <c r="H5" s="1">
        <v>0</v>
      </c>
      <c r="I5" s="1">
        <v>49310</v>
      </c>
      <c r="J5" s="1">
        <v>177483</v>
      </c>
      <c r="K5" s="1">
        <v>0</v>
      </c>
      <c r="L5" s="1">
        <v>0</v>
      </c>
      <c r="M5" s="1">
        <v>5631</v>
      </c>
      <c r="N5" s="1">
        <v>0</v>
      </c>
      <c r="O5" s="1">
        <f>SUM(C5:N5)</f>
        <v>913628</v>
      </c>
      <c r="P5">
        <f>SUM(C5:N5)</f>
        <v>913628</v>
      </c>
      <c r="Q5" s="57" t="str">
        <f>IF(ABS(P5-O5)&lt;3," ","Sum not correct")</f>
        <v xml:space="preserve"> </v>
      </c>
      <c r="S5" t="str">
        <f>VLOOKUP(B5,'Calcs and References'!A$2:E$9,5,FALSE)</f>
        <v>ELEC</v>
      </c>
      <c r="T5">
        <f>VLOOKUP(B5,'Calcs and References'!A$2:E$9,4,FALSE)*O5</f>
        <v>3117.4266439199996</v>
      </c>
      <c r="U5">
        <f>T5*1000/'Basic Info'!$D$18</f>
        <v>35.027265662022465</v>
      </c>
      <c r="V5">
        <f>U5*VLOOKUP(B5,'Calcs and References'!A$2:D$9,3,FALSE)</f>
        <v>89.31952743815728</v>
      </c>
      <c r="W5">
        <f>VLOOKUP(B5,'Calcs and References'!A$2:E$9,2,FALSE)*O5</f>
        <v>237.9220014639744</v>
      </c>
    </row>
    <row r="6" spans="1:23" x14ac:dyDescent="0.25">
      <c r="A6" s="1"/>
      <c r="B6" s="1" t="s">
        <v>22</v>
      </c>
      <c r="C6" s="1">
        <v>0</v>
      </c>
      <c r="D6" s="1">
        <v>0</v>
      </c>
      <c r="E6" s="1">
        <v>0</v>
      </c>
      <c r="F6" s="1">
        <v>2832</v>
      </c>
      <c r="G6" s="1">
        <v>0</v>
      </c>
      <c r="H6" s="1">
        <v>0</v>
      </c>
      <c r="I6" s="1">
        <v>0</v>
      </c>
      <c r="J6" s="1">
        <v>0</v>
      </c>
      <c r="K6" s="1">
        <v>0</v>
      </c>
      <c r="L6" s="1">
        <v>0</v>
      </c>
      <c r="M6" s="1">
        <v>0</v>
      </c>
      <c r="N6" s="1">
        <v>0</v>
      </c>
      <c r="O6" s="1">
        <v>2832</v>
      </c>
      <c r="P6">
        <f>SUM(C6:N6)</f>
        <v>2832</v>
      </c>
      <c r="Q6" s="57" t="str">
        <f t="shared" ref="Q6:Q8" si="0">IF(ABS(P6-O6)&lt;3," ","Sum not correct")</f>
        <v xml:space="preserve"> </v>
      </c>
      <c r="S6" t="str">
        <f>VLOOKUP(B6,'Calcs and References'!A$2:E$9,5,FALSE)</f>
        <v>FF</v>
      </c>
      <c r="T6">
        <f>VLOOKUP(B6,'Calcs and References'!A$2:E$9,4,FALSE)*O6</f>
        <v>283.13231520000005</v>
      </c>
      <c r="U6">
        <f>T6*1000/'Basic Info'!$D$18</f>
        <v>3.1812619685393266</v>
      </c>
      <c r="V6">
        <f>U6*VLOOKUP(B6,'Calcs and References'!A$2:D$9,3,FALSE)</f>
        <v>3.3403250669662929</v>
      </c>
      <c r="W6">
        <f>VLOOKUP(B6,'Calcs and References'!A$2:E$9,2,FALSE)*O6</f>
        <v>14.156615760000003</v>
      </c>
    </row>
    <row r="7" spans="1:23" x14ac:dyDescent="0.25">
      <c r="A7" s="1"/>
      <c r="B7" s="1" t="s">
        <v>132</v>
      </c>
      <c r="C7" s="1">
        <v>0</v>
      </c>
      <c r="D7" s="1">
        <v>0</v>
      </c>
      <c r="E7" s="1">
        <v>0</v>
      </c>
      <c r="F7" s="1">
        <v>0</v>
      </c>
      <c r="G7" s="1">
        <v>0</v>
      </c>
      <c r="H7" s="1">
        <v>0</v>
      </c>
      <c r="I7" s="1">
        <v>0</v>
      </c>
      <c r="J7" s="1">
        <v>0</v>
      </c>
      <c r="K7" s="1">
        <v>0</v>
      </c>
      <c r="L7" s="1">
        <v>0</v>
      </c>
      <c r="M7" s="1">
        <v>0</v>
      </c>
      <c r="N7" s="1">
        <v>0</v>
      </c>
      <c r="O7" s="1">
        <v>0</v>
      </c>
      <c r="P7">
        <f t="shared" ref="P7:P8" si="1">SUM(C7:N7)</f>
        <v>0</v>
      </c>
      <c r="Q7" s="57" t="str">
        <f t="shared" si="0"/>
        <v xml:space="preserve"> </v>
      </c>
      <c r="S7" t="str">
        <f>VLOOKUP(B7,'Calcs and References'!A$2:E$9,5,FALSE)</f>
        <v>FF</v>
      </c>
      <c r="T7">
        <f>VLOOKUP(B7,'Calcs and References'!A$2:E$9,4,FALSE)*O7</f>
        <v>0</v>
      </c>
      <c r="U7">
        <f>T7*1000/'Basic Info'!$D$18</f>
        <v>0</v>
      </c>
      <c r="V7">
        <f>U7*VLOOKUP(B7,'Calcs and References'!A$2:D$9,3,FALSE)</f>
        <v>0</v>
      </c>
      <c r="W7">
        <f>VLOOKUP(B7,'Calcs and References'!A$2:E$9,2,FALSE)*O7</f>
        <v>0</v>
      </c>
    </row>
    <row r="8" spans="1:23" x14ac:dyDescent="0.25">
      <c r="A8" s="1"/>
      <c r="B8" s="1"/>
      <c r="C8" s="1"/>
      <c r="D8" s="1"/>
      <c r="E8" s="1"/>
      <c r="F8" s="1"/>
      <c r="G8" s="1"/>
      <c r="H8" s="1"/>
      <c r="I8" s="1"/>
      <c r="J8" s="1"/>
      <c r="K8" s="1"/>
      <c r="L8" s="1"/>
      <c r="M8" s="1"/>
      <c r="N8" s="1"/>
      <c r="O8" s="1"/>
      <c r="P8">
        <f t="shared" si="1"/>
        <v>0</v>
      </c>
      <c r="Q8" s="57" t="str">
        <f t="shared" si="0"/>
        <v xml:space="preserve"> </v>
      </c>
      <c r="S8" t="e">
        <f>VLOOKUP(B8,'Calcs and References'!A$2:E$9,5,FALSE)</f>
        <v>#N/A</v>
      </c>
      <c r="T8" t="e">
        <f>VLOOKUP(B8,'Calcs and References'!A$2:E$9,4,FALSE)*O8</f>
        <v>#N/A</v>
      </c>
      <c r="U8" t="e">
        <f>T8*1000/'Basic Info'!$D$18</f>
        <v>#N/A</v>
      </c>
      <c r="V8" t="e">
        <f>U8*VLOOKUP(B8,'Calcs and References'!A$2:D$9,3,FALSE)</f>
        <v>#N/A</v>
      </c>
      <c r="W8" t="e">
        <f>VLOOKUP(B8,'Calcs and References'!A$2:E$9,2,FALSE)*O8</f>
        <v>#N/A</v>
      </c>
    </row>
    <row r="9" spans="1:23" x14ac:dyDescent="0.25">
      <c r="V9">
        <f>SUMIF(V5:V8,"&lt;&gt;#N/A")</f>
        <v>92.659852505123567</v>
      </c>
      <c r="W9">
        <f>SUMIF(W5:W8,"&lt;&gt;#N/A")</f>
        <v>252.07861722397439</v>
      </c>
    </row>
    <row r="10" spans="1:23" x14ac:dyDescent="0.25">
      <c r="T10" t="s">
        <v>70</v>
      </c>
      <c r="U10" t="s">
        <v>71</v>
      </c>
      <c r="V10" t="s">
        <v>123</v>
      </c>
    </row>
    <row r="11" spans="1:23" x14ac:dyDescent="0.25">
      <c r="A11" t="s">
        <v>25</v>
      </c>
      <c r="T11">
        <f>SUMIF(S5:S8,S2,O5:O8)</f>
        <v>913628</v>
      </c>
      <c r="U11" s="34">
        <f>SUMIF(S5:S8,S2,T5:T8)</f>
        <v>3117.4266439199996</v>
      </c>
      <c r="V11">
        <f>U11*'Calcs and References'!C2</f>
        <v>7949.4379419959987</v>
      </c>
    </row>
    <row r="12" spans="1:23" ht="45" x14ac:dyDescent="0.25">
      <c r="A12" s="2" t="s">
        <v>26</v>
      </c>
      <c r="B12" s="2" t="s">
        <v>27</v>
      </c>
      <c r="C12" s="2" t="s">
        <v>33</v>
      </c>
      <c r="D12" s="3" t="s">
        <v>28</v>
      </c>
      <c r="E12" s="3" t="s">
        <v>124</v>
      </c>
      <c r="F12" s="3" t="s">
        <v>29</v>
      </c>
      <c r="G12" s="3" t="s">
        <v>30</v>
      </c>
      <c r="H12" s="3" t="s">
        <v>31</v>
      </c>
      <c r="U12" t="s">
        <v>72</v>
      </c>
    </row>
    <row r="13" spans="1:23" x14ac:dyDescent="0.25">
      <c r="A13" s="1"/>
      <c r="B13" s="1" t="s">
        <v>21</v>
      </c>
      <c r="C13" s="1"/>
      <c r="D13" s="1">
        <v>913628</v>
      </c>
      <c r="E13" s="1" t="s">
        <v>125</v>
      </c>
      <c r="F13" s="1">
        <f>D13*G13</f>
        <v>266048.47360000003</v>
      </c>
      <c r="G13" s="1">
        <v>0.29120000000000001</v>
      </c>
      <c r="H13" s="1"/>
      <c r="U13">
        <f>SUMIF(S5:S8,T2,T5:T8)</f>
        <v>283.13231520000005</v>
      </c>
      <c r="V13">
        <f>U13*'Calcs and References'!C3</f>
        <v>297.28893096000007</v>
      </c>
    </row>
    <row r="14" spans="1:23" x14ac:dyDescent="0.25">
      <c r="A14" s="1"/>
      <c r="B14" s="1" t="s">
        <v>22</v>
      </c>
      <c r="C14" s="1"/>
      <c r="D14" s="1">
        <v>2832</v>
      </c>
      <c r="E14" s="1" t="s">
        <v>126</v>
      </c>
      <c r="F14" s="1">
        <f>G14*D14</f>
        <v>3426.72</v>
      </c>
      <c r="G14" s="1">
        <v>1.21</v>
      </c>
      <c r="H14" s="1"/>
      <c r="U14" t="s">
        <v>73</v>
      </c>
    </row>
    <row r="15" spans="1:23" x14ac:dyDescent="0.25">
      <c r="A15" s="1"/>
      <c r="B15" s="1" t="s">
        <v>132</v>
      </c>
      <c r="C15" s="1"/>
      <c r="D15" s="1">
        <v>0</v>
      </c>
      <c r="E15" s="1" t="s">
        <v>154</v>
      </c>
      <c r="F15" s="1">
        <f>D15*G15</f>
        <v>0</v>
      </c>
      <c r="G15" s="1">
        <v>0</v>
      </c>
      <c r="H15" s="1"/>
      <c r="U15">
        <f>SUMIF(S5:S8,U2,T5:T8)</f>
        <v>0</v>
      </c>
      <c r="V15">
        <f>U15*'Calcs and References'!C6</f>
        <v>0</v>
      </c>
    </row>
    <row r="16" spans="1:23" x14ac:dyDescent="0.25">
      <c r="A16" s="1"/>
      <c r="B16" s="1"/>
      <c r="C16" s="1"/>
      <c r="D16" s="1"/>
      <c r="E16" s="1"/>
      <c r="F16" s="1"/>
      <c r="G16" s="1"/>
      <c r="H16" s="1"/>
    </row>
    <row r="17" spans="1:8" ht="30" x14ac:dyDescent="0.25">
      <c r="F17" s="3" t="s">
        <v>32</v>
      </c>
      <c r="G17" s="6" t="s">
        <v>23</v>
      </c>
      <c r="H17" s="6"/>
    </row>
    <row r="18" spans="1:8" x14ac:dyDescent="0.25">
      <c r="F18" s="1">
        <f>SUM(F13:F15)</f>
        <v>269475.1936</v>
      </c>
      <c r="G18" s="165" t="str">
        <f>IF(ABS(F13+F14+F15+F16-F18)&lt;3," ","Sum not correct")</f>
        <v xml:space="preserve"> </v>
      </c>
      <c r="H18" s="166"/>
    </row>
    <row r="20" spans="1:8" x14ac:dyDescent="0.25">
      <c r="A20" s="2" t="s">
        <v>37</v>
      </c>
    </row>
    <row r="21" spans="1:8" x14ac:dyDescent="0.25">
      <c r="A21" s="167" t="s">
        <v>156</v>
      </c>
      <c r="B21" s="167"/>
      <c r="C21" s="167"/>
      <c r="D21" s="167"/>
    </row>
  </sheetData>
  <mergeCells count="2">
    <mergeCell ref="A21:D21"/>
    <mergeCell ref="G18:H1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DCFC58E-0614-4E14-887A-386B085F53CA}">
          <x14:formula1>
            <xm:f>'Calcs and References'!$A$2:$A$9</xm:f>
          </x14:formula1>
          <xm:sqref>B5:B8 B13:B16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Basic Info</vt:lpstr>
      <vt:lpstr>Results</vt:lpstr>
      <vt:lpstr>Capital Planning Information</vt:lpstr>
      <vt:lpstr>Calcs and References</vt:lpstr>
      <vt:lpstr>Proposed Design</vt:lpstr>
      <vt:lpstr>Existing Building Baseline</vt:lpstr>
      <vt:lpstr>EEM1</vt:lpstr>
      <vt:lpstr>EEM2</vt:lpstr>
      <vt:lpstr>EEM3</vt:lpstr>
      <vt:lpstr>EEM4</vt:lpstr>
      <vt:lpstr>EEM5</vt:lpstr>
      <vt:lpstr>EEM6</vt:lpstr>
      <vt:lpstr>EEM7</vt:lpstr>
      <vt:lpstr>EEM8</vt:lpstr>
      <vt:lpstr>EEM9</vt:lpstr>
      <vt:lpstr>EEM10</vt:lpstr>
      <vt:lpstr>EEM11</vt:lpstr>
      <vt:lpstr>EEM12</vt:lpstr>
      <vt:lpstr>EEM13</vt:lpstr>
      <vt:lpstr>EEM14</vt:lpstr>
      <vt:lpstr>EEM15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Ransom</dc:creator>
  <cp:lastModifiedBy>Ransom Burgess</cp:lastModifiedBy>
  <cp:lastPrinted>2023-08-21T22:28:11Z</cp:lastPrinted>
  <dcterms:created xsi:type="dcterms:W3CDTF">2023-08-21T21:38:58Z</dcterms:created>
  <dcterms:modified xsi:type="dcterms:W3CDTF">2023-10-19T21:42:59Z</dcterms:modified>
</cp:coreProperties>
</file>