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theme/themeOverride4.xml" ContentType="application/vnd.openxmlformats-officedocument.themeOverride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theme/themeOverride5.xml" ContentType="application/vnd.openxmlformats-officedocument.themeOverrid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I:\Projects\SCA - Continuous Consulting - eQuest - VS220286\Energy model templates\eQuest templates\2025-03 - New rates\"/>
    </mc:Choice>
  </mc:AlternateContent>
  <xr:revisionPtr revIDLastSave="0" documentId="13_ncr:1_{705E839F-A3A4-4E25-BF16-A36D75152B0A}" xr6:coauthVersionLast="47" xr6:coauthVersionMax="47" xr10:uidLastSave="{00000000-0000-0000-0000-000000000000}"/>
  <bookViews>
    <workbookView xWindow="0" yWindow="0" windowWidth="19200" windowHeight="21150" activeTab="2" xr2:uid="{BE2B094E-33A3-4851-95FA-DC45BA1F41E6}"/>
  </bookViews>
  <sheets>
    <sheet name="General Information" sheetId="4" r:id="rId1"/>
    <sheet name="Envelope" sheetId="3" r:id="rId2"/>
    <sheet name="Gym occupancy" sheetId="23" r:id="rId3"/>
    <sheet name="Air Cooled Chiller Calc" sheetId="5" r:id="rId4"/>
    <sheet name="Air Cooled DX IEER" sheetId="6" r:id="rId5"/>
    <sheet name="VRF HP IEER" sheetId="20" r:id="rId6"/>
    <sheet name="VRF HP IEER Daikin" sheetId="21" state="hidden" r:id="rId7"/>
    <sheet name="Domestic Hot Water" sheetId="1" r:id="rId8"/>
    <sheet name="Kitchen Instructions" sheetId="7" r:id="rId9"/>
    <sheet name="Kitchen Equipment" sheetId="8" r:id="rId10"/>
    <sheet name="Input to eQuest" sheetId="9" r:id="rId11"/>
    <sheet name="Default values" sheetId="10" state="hidden" r:id="rId12"/>
    <sheet name="Pool inputs" sheetId="12" r:id="rId13"/>
    <sheet name="Matching Summary" sheetId="14" r:id="rId14"/>
    <sheet name="Electric Matching" sheetId="15" r:id="rId15"/>
    <sheet name="Gas Matching" sheetId="16" r:id="rId16"/>
    <sheet name="Steam Matching" sheetId="17" r:id="rId17"/>
    <sheet name="Fuel Oil Matching" sheetId="18" r:id="rId18"/>
    <sheet name="Other Energy Matching" sheetId="19" r:id="rId19"/>
  </sheets>
  <externalReferences>
    <externalReference r:id="rId20"/>
  </externalReferences>
  <definedNames>
    <definedName name="SCHOOLDAYS">'[1]Project Info_Overview'!$P$20</definedName>
    <definedName name="SUMMERDAYS">'[1]Project Info_Overview'!$P$21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" i="23" l="1"/>
  <c r="B9" i="23" s="1"/>
  <c r="J70" i="23"/>
  <c r="L69" i="23"/>
  <c r="L65" i="23"/>
  <c r="K65" i="23"/>
  <c r="E59" i="23"/>
  <c r="J59" i="23" s="1"/>
  <c r="E58" i="23"/>
  <c r="J58" i="23" s="1"/>
  <c r="K52" i="23"/>
  <c r="J52" i="23"/>
  <c r="J51" i="23"/>
  <c r="L48" i="23"/>
  <c r="K48" i="23"/>
  <c r="J48" i="23"/>
  <c r="J47" i="23"/>
  <c r="K36" i="23"/>
  <c r="K35" i="23"/>
  <c r="K34" i="23"/>
  <c r="K22" i="23"/>
  <c r="J22" i="23"/>
  <c r="J31" i="23"/>
  <c r="J34" i="23"/>
  <c r="B5" i="23"/>
  <c r="K69" i="23" s="1"/>
  <c r="B7" i="23"/>
  <c r="K70" i="23" l="1"/>
  <c r="J20" i="23"/>
  <c r="K37" i="23"/>
  <c r="J49" i="23"/>
  <c r="J53" i="23"/>
  <c r="E61" i="23"/>
  <c r="J61" i="23" s="1"/>
  <c r="K66" i="23"/>
  <c r="L70" i="23"/>
  <c r="J19" i="23"/>
  <c r="E23" i="23"/>
  <c r="J23" i="23" s="1"/>
  <c r="K49" i="23"/>
  <c r="K53" i="23"/>
  <c r="L66" i="23"/>
  <c r="E63" i="23"/>
  <c r="J63" i="23" s="1"/>
  <c r="K18" i="23"/>
  <c r="E30" i="23"/>
  <c r="J30" i="23" s="1"/>
  <c r="L49" i="23"/>
  <c r="L53" i="23"/>
  <c r="E62" i="23"/>
  <c r="J62" i="23" s="1"/>
  <c r="K67" i="23"/>
  <c r="E64" i="23"/>
  <c r="J64" i="23" s="1"/>
  <c r="K19" i="23"/>
  <c r="E29" i="23"/>
  <c r="J29" i="23" s="1"/>
  <c r="J50" i="23"/>
  <c r="J54" i="23"/>
  <c r="F62" i="23"/>
  <c r="K62" i="23" s="1"/>
  <c r="L67" i="23"/>
  <c r="E65" i="23"/>
  <c r="J65" i="23" s="1"/>
  <c r="L52" i="23"/>
  <c r="J36" i="23"/>
  <c r="K20" i="23"/>
  <c r="E28" i="23"/>
  <c r="J28" i="23" s="1"/>
  <c r="K50" i="23"/>
  <c r="K54" i="23"/>
  <c r="G62" i="23"/>
  <c r="L62" i="23" s="1"/>
  <c r="J68" i="23"/>
  <c r="E66" i="23"/>
  <c r="J66" i="23" s="1"/>
  <c r="J21" i="23"/>
  <c r="E60" i="23"/>
  <c r="J60" i="23" s="1"/>
  <c r="J35" i="23"/>
  <c r="K21" i="23"/>
  <c r="E27" i="23"/>
  <c r="J27" i="23" s="1"/>
  <c r="L50" i="23"/>
  <c r="L54" i="23"/>
  <c r="F63" i="23"/>
  <c r="K63" i="23" s="1"/>
  <c r="K68" i="23"/>
  <c r="F64" i="23"/>
  <c r="K64" i="23" s="1"/>
  <c r="L68" i="23"/>
  <c r="E55" i="23"/>
  <c r="J55" i="23" s="1"/>
  <c r="J33" i="23"/>
  <c r="K32" i="23"/>
  <c r="K47" i="23"/>
  <c r="K51" i="23"/>
  <c r="E56" i="23"/>
  <c r="J56" i="23" s="1"/>
  <c r="G64" i="23"/>
  <c r="L64" i="23" s="1"/>
  <c r="J69" i="23"/>
  <c r="E67" i="23"/>
  <c r="J67" i="23" s="1"/>
  <c r="G63" i="23"/>
  <c r="L63" i="23" s="1"/>
  <c r="J32" i="23"/>
  <c r="K33" i="23"/>
  <c r="L47" i="23"/>
  <c r="L51" i="23"/>
  <c r="E57" i="23"/>
  <c r="J57" i="23" s="1"/>
  <c r="G55" i="23"/>
  <c r="L55" i="23" s="1"/>
  <c r="F57" i="23"/>
  <c r="K57" i="23" s="1"/>
  <c r="F26" i="23"/>
  <c r="K26" i="23" s="1"/>
  <c r="G60" i="23"/>
  <c r="L60" i="23" s="1"/>
  <c r="F23" i="23"/>
  <c r="K23" i="23" s="1"/>
  <c r="F24" i="23"/>
  <c r="K24" i="23" s="1"/>
  <c r="F60" i="23"/>
  <c r="K60" i="23" s="1"/>
  <c r="F61" i="23"/>
  <c r="K61" i="23" s="1"/>
  <c r="G57" i="23"/>
  <c r="L57" i="23" s="1"/>
  <c r="F25" i="23"/>
  <c r="K25" i="23" s="1"/>
  <c r="F58" i="23"/>
  <c r="K58" i="23" s="1"/>
  <c r="G58" i="23"/>
  <c r="L58" i="23" s="1"/>
  <c r="G61" i="23"/>
  <c r="L61" i="23" s="1"/>
  <c r="F56" i="23"/>
  <c r="K56" i="23" s="1"/>
  <c r="F59" i="23"/>
  <c r="K59" i="23" s="1"/>
  <c r="G56" i="23"/>
  <c r="L56" i="23" s="1"/>
  <c r="G59" i="23"/>
  <c r="L59" i="23" s="1"/>
  <c r="F55" i="23"/>
  <c r="K55" i="23" s="1"/>
  <c r="J17" i="23"/>
  <c r="E25" i="23"/>
  <c r="J25" i="23" s="1"/>
  <c r="F28" i="23"/>
  <c r="K28" i="23" s="1"/>
  <c r="J16" i="23"/>
  <c r="E24" i="23"/>
  <c r="J24" i="23" s="1"/>
  <c r="F29" i="23"/>
  <c r="K29" i="23" s="1"/>
  <c r="J15" i="23"/>
  <c r="K15" i="23"/>
  <c r="F30" i="23"/>
  <c r="K30" i="23" s="1"/>
  <c r="J38" i="23"/>
  <c r="K16" i="23"/>
  <c r="F31" i="23"/>
  <c r="K31" i="23" s="1"/>
  <c r="J18" i="23"/>
  <c r="K38" i="23"/>
  <c r="E26" i="23"/>
  <c r="J26" i="23" s="1"/>
  <c r="F27" i="23"/>
  <c r="K27" i="23" s="1"/>
  <c r="J37" i="23"/>
  <c r="K17" i="23"/>
  <c r="AA87" i="8"/>
  <c r="D99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D98" i="8"/>
  <c r="D97" i="8"/>
  <c r="D95" i="8"/>
  <c r="D96" i="8" s="1"/>
  <c r="D91" i="8"/>
  <c r="D92" i="8" s="1"/>
  <c r="AY84" i="8" l="1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Y92" i="8"/>
  <c r="Y91" i="8"/>
  <c r="D34" i="14"/>
  <c r="E26" i="14"/>
  <c r="F26" i="14" s="1"/>
  <c r="F23" i="14"/>
  <c r="F24" i="14"/>
  <c r="F25" i="14"/>
  <c r="F27" i="14"/>
  <c r="F28" i="14"/>
  <c r="F29" i="14"/>
  <c r="F30" i="14"/>
  <c r="F31" i="14"/>
  <c r="F32" i="14"/>
  <c r="F33" i="14"/>
  <c r="F22" i="14"/>
  <c r="K64" i="15"/>
  <c r="D64" i="15"/>
  <c r="E31" i="14"/>
  <c r="E30" i="14"/>
  <c r="D31" i="14"/>
  <c r="E33" i="14"/>
  <c r="E32" i="14"/>
  <c r="E29" i="14"/>
  <c r="E28" i="14"/>
  <c r="E27" i="14"/>
  <c r="G15" i="20"/>
  <c r="F15" i="20"/>
  <c r="E15" i="20"/>
  <c r="D15" i="20"/>
  <c r="L15" i="20"/>
  <c r="G15" i="21"/>
  <c r="F15" i="21"/>
  <c r="E15" i="21"/>
  <c r="D15" i="21"/>
  <c r="L15" i="21"/>
  <c r="G23" i="21"/>
  <c r="E23" i="21"/>
  <c r="D23" i="21"/>
  <c r="G22" i="21"/>
  <c r="E22" i="21"/>
  <c r="D22" i="21"/>
  <c r="G21" i="21"/>
  <c r="E21" i="21"/>
  <c r="D21" i="21"/>
  <c r="G20" i="21"/>
  <c r="E20" i="21"/>
  <c r="F20" i="21" s="1"/>
  <c r="H20" i="21" s="1"/>
  <c r="I20" i="21" s="1"/>
  <c r="D20" i="21"/>
  <c r="L20" i="21" s="1"/>
  <c r="M20" i="21" s="1"/>
  <c r="N20" i="21" s="1"/>
  <c r="O20" i="21" s="1"/>
  <c r="L14" i="21"/>
  <c r="L13" i="21"/>
  <c r="B7" i="21"/>
  <c r="B8" i="21" s="1"/>
  <c r="J24" i="20"/>
  <c r="E21" i="20"/>
  <c r="L14" i="20"/>
  <c r="G23" i="20"/>
  <c r="E23" i="20"/>
  <c r="D23" i="20"/>
  <c r="G22" i="20"/>
  <c r="E22" i="20"/>
  <c r="D22" i="20"/>
  <c r="G21" i="20"/>
  <c r="D21" i="20"/>
  <c r="G20" i="20"/>
  <c r="E20" i="20"/>
  <c r="D20" i="20"/>
  <c r="L20" i="20" s="1"/>
  <c r="L13" i="20"/>
  <c r="B7" i="20"/>
  <c r="B8" i="20" s="1"/>
  <c r="D5" i="16"/>
  <c r="J37" i="16" s="1"/>
  <c r="J53" i="16" s="1"/>
  <c r="D5" i="17"/>
  <c r="C37" i="17" s="1"/>
  <c r="D5" i="18"/>
  <c r="J37" i="18" s="1"/>
  <c r="J53" i="18" s="1"/>
  <c r="D5" i="19"/>
  <c r="J37" i="19" s="1"/>
  <c r="J53" i="19" s="1"/>
  <c r="D5" i="15"/>
  <c r="C37" i="15" s="1"/>
  <c r="L4" i="19"/>
  <c r="M4" i="19"/>
  <c r="N4" i="19"/>
  <c r="L5" i="19"/>
  <c r="M5" i="19"/>
  <c r="N5" i="19"/>
  <c r="L6" i="19"/>
  <c r="M6" i="19"/>
  <c r="N6" i="19"/>
  <c r="L7" i="19"/>
  <c r="M7" i="19"/>
  <c r="N7" i="19"/>
  <c r="L8" i="19"/>
  <c r="M8" i="19"/>
  <c r="N8" i="19"/>
  <c r="L9" i="19"/>
  <c r="M9" i="19"/>
  <c r="N9" i="19"/>
  <c r="L10" i="19"/>
  <c r="M10" i="19"/>
  <c r="N10" i="19"/>
  <c r="L11" i="19"/>
  <c r="M11" i="19"/>
  <c r="N11" i="19"/>
  <c r="L12" i="19"/>
  <c r="M12" i="19"/>
  <c r="N12" i="19"/>
  <c r="L13" i="19"/>
  <c r="M13" i="19"/>
  <c r="N13" i="19"/>
  <c r="L14" i="19"/>
  <c r="M14" i="19"/>
  <c r="N14" i="19"/>
  <c r="L15" i="19"/>
  <c r="M15" i="19"/>
  <c r="N15" i="19"/>
  <c r="E16" i="19"/>
  <c r="F16" i="19"/>
  <c r="E48" i="19" s="1"/>
  <c r="L48" i="19" s="1"/>
  <c r="G16" i="19"/>
  <c r="I16" i="19"/>
  <c r="D48" i="19" s="1"/>
  <c r="K48" i="19" s="1"/>
  <c r="J16" i="19"/>
  <c r="K16" i="19"/>
  <c r="N16" i="19" s="1"/>
  <c r="L16" i="19"/>
  <c r="M16" i="19"/>
  <c r="B36" i="19"/>
  <c r="C36" i="19"/>
  <c r="D36" i="19"/>
  <c r="K36" i="19" s="1"/>
  <c r="E36" i="19"/>
  <c r="F36" i="19"/>
  <c r="M36" i="19" s="1"/>
  <c r="I36" i="19"/>
  <c r="I52" i="19" s="1"/>
  <c r="J36" i="19"/>
  <c r="L36" i="19"/>
  <c r="B37" i="19"/>
  <c r="D37" i="19"/>
  <c r="K37" i="19" s="1"/>
  <c r="E37" i="19"/>
  <c r="L37" i="19" s="1"/>
  <c r="F37" i="19"/>
  <c r="M37" i="19" s="1"/>
  <c r="I37" i="19"/>
  <c r="B38" i="19"/>
  <c r="C38" i="19"/>
  <c r="D38" i="19"/>
  <c r="K38" i="19" s="1"/>
  <c r="E38" i="19"/>
  <c r="F38" i="19"/>
  <c r="M38" i="19" s="1"/>
  <c r="I38" i="19"/>
  <c r="J38" i="19"/>
  <c r="J54" i="19" s="1"/>
  <c r="L38" i="19"/>
  <c r="B39" i="19"/>
  <c r="C39" i="19"/>
  <c r="D39" i="19"/>
  <c r="K39" i="19" s="1"/>
  <c r="E39" i="19"/>
  <c r="F39" i="19"/>
  <c r="M39" i="19" s="1"/>
  <c r="I39" i="19"/>
  <c r="I55" i="19" s="1"/>
  <c r="J39" i="19"/>
  <c r="L39" i="19"/>
  <c r="B40" i="19"/>
  <c r="C40" i="19"/>
  <c r="D40" i="19"/>
  <c r="K40" i="19" s="1"/>
  <c r="E40" i="19"/>
  <c r="F40" i="19"/>
  <c r="M40" i="19" s="1"/>
  <c r="I40" i="19"/>
  <c r="J40" i="19"/>
  <c r="J56" i="19" s="1"/>
  <c r="L40" i="19"/>
  <c r="B41" i="19"/>
  <c r="C41" i="19"/>
  <c r="D41" i="19"/>
  <c r="K41" i="19" s="1"/>
  <c r="E41" i="19"/>
  <c r="L41" i="19" s="1"/>
  <c r="F41" i="19"/>
  <c r="M41" i="19" s="1"/>
  <c r="I41" i="19"/>
  <c r="J41" i="19"/>
  <c r="J57" i="19" s="1"/>
  <c r="B42" i="19"/>
  <c r="C42" i="19"/>
  <c r="D42" i="19"/>
  <c r="K42" i="19" s="1"/>
  <c r="E42" i="19"/>
  <c r="F42" i="19"/>
  <c r="M42" i="19" s="1"/>
  <c r="I42" i="19"/>
  <c r="J42" i="19"/>
  <c r="L42" i="19"/>
  <c r="B43" i="19"/>
  <c r="C43" i="19"/>
  <c r="D43" i="19"/>
  <c r="K43" i="19" s="1"/>
  <c r="E43" i="19"/>
  <c r="F43" i="19"/>
  <c r="M43" i="19" s="1"/>
  <c r="I43" i="19"/>
  <c r="J43" i="19"/>
  <c r="L43" i="19"/>
  <c r="B44" i="19"/>
  <c r="C44" i="19"/>
  <c r="D44" i="19"/>
  <c r="K44" i="19" s="1"/>
  <c r="E44" i="19"/>
  <c r="F44" i="19"/>
  <c r="M44" i="19" s="1"/>
  <c r="I44" i="19"/>
  <c r="I60" i="19" s="1"/>
  <c r="J44" i="19"/>
  <c r="J60" i="19" s="1"/>
  <c r="L44" i="19"/>
  <c r="B45" i="19"/>
  <c r="C45" i="19"/>
  <c r="C61" i="19" s="1"/>
  <c r="D45" i="19"/>
  <c r="K45" i="19" s="1"/>
  <c r="E45" i="19"/>
  <c r="L45" i="19" s="1"/>
  <c r="F45" i="19"/>
  <c r="M45" i="19" s="1"/>
  <c r="I45" i="19"/>
  <c r="J45" i="19"/>
  <c r="B46" i="19"/>
  <c r="C46" i="19"/>
  <c r="D46" i="19"/>
  <c r="K46" i="19" s="1"/>
  <c r="E46" i="19"/>
  <c r="F46" i="19"/>
  <c r="M46" i="19" s="1"/>
  <c r="I46" i="19"/>
  <c r="J46" i="19"/>
  <c r="J62" i="19" s="1"/>
  <c r="L46" i="19"/>
  <c r="B47" i="19"/>
  <c r="C47" i="19"/>
  <c r="D47" i="19"/>
  <c r="K47" i="19" s="1"/>
  <c r="E47" i="19"/>
  <c r="F47" i="19"/>
  <c r="M47" i="19" s="1"/>
  <c r="I47" i="19"/>
  <c r="I63" i="19" s="1"/>
  <c r="J47" i="19"/>
  <c r="L47" i="19"/>
  <c r="F48" i="19"/>
  <c r="M48" i="19" s="1"/>
  <c r="C52" i="19"/>
  <c r="D52" i="19"/>
  <c r="E52" i="19"/>
  <c r="F52" i="19"/>
  <c r="K52" i="19"/>
  <c r="K64" i="19" s="1"/>
  <c r="L52" i="19"/>
  <c r="M52" i="19"/>
  <c r="M64" i="19" s="1"/>
  <c r="D53" i="19"/>
  <c r="E53" i="19"/>
  <c r="F53" i="19"/>
  <c r="I53" i="19"/>
  <c r="K53" i="19"/>
  <c r="L53" i="19"/>
  <c r="M53" i="19"/>
  <c r="C54" i="19"/>
  <c r="D54" i="19"/>
  <c r="D64" i="19" s="1"/>
  <c r="E54" i="19"/>
  <c r="F54" i="19"/>
  <c r="I54" i="19"/>
  <c r="K54" i="19"/>
  <c r="L54" i="19"/>
  <c r="M54" i="19"/>
  <c r="C55" i="19"/>
  <c r="D55" i="19"/>
  <c r="E55" i="19"/>
  <c r="F55" i="19"/>
  <c r="J55" i="19"/>
  <c r="K55" i="19"/>
  <c r="L55" i="19"/>
  <c r="M55" i="19"/>
  <c r="C56" i="19"/>
  <c r="D56" i="19"/>
  <c r="E56" i="19"/>
  <c r="E64" i="19" s="1"/>
  <c r="F56" i="19"/>
  <c r="I56" i="19"/>
  <c r="K56" i="19"/>
  <c r="L56" i="19"/>
  <c r="M56" i="19"/>
  <c r="C57" i="19"/>
  <c r="D57" i="19"/>
  <c r="E57" i="19"/>
  <c r="F57" i="19"/>
  <c r="I57" i="19"/>
  <c r="K57" i="19"/>
  <c r="L57" i="19"/>
  <c r="M57" i="19"/>
  <c r="C58" i="19"/>
  <c r="D58" i="19"/>
  <c r="E58" i="19"/>
  <c r="F58" i="19"/>
  <c r="I58" i="19"/>
  <c r="J58" i="19"/>
  <c r="K58" i="19"/>
  <c r="L58" i="19"/>
  <c r="M58" i="19"/>
  <c r="C59" i="19"/>
  <c r="D59" i="19"/>
  <c r="E59" i="19"/>
  <c r="F59" i="19"/>
  <c r="I59" i="19"/>
  <c r="J59" i="19"/>
  <c r="K59" i="19"/>
  <c r="L59" i="19"/>
  <c r="L64" i="19" s="1"/>
  <c r="M59" i="19"/>
  <c r="C60" i="19"/>
  <c r="D60" i="19"/>
  <c r="E60" i="19"/>
  <c r="F60" i="19"/>
  <c r="K60" i="19"/>
  <c r="L60" i="19"/>
  <c r="M60" i="19"/>
  <c r="D61" i="19"/>
  <c r="E61" i="19"/>
  <c r="F61" i="19"/>
  <c r="I61" i="19"/>
  <c r="J61" i="19"/>
  <c r="K61" i="19"/>
  <c r="L61" i="19"/>
  <c r="M61" i="19"/>
  <c r="C62" i="19"/>
  <c r="D62" i="19"/>
  <c r="E62" i="19"/>
  <c r="F62" i="19"/>
  <c r="I62" i="19"/>
  <c r="K62" i="19"/>
  <c r="L62" i="19"/>
  <c r="M62" i="19"/>
  <c r="C63" i="19"/>
  <c r="D63" i="19"/>
  <c r="E63" i="19"/>
  <c r="F63" i="19"/>
  <c r="J63" i="19"/>
  <c r="K63" i="19"/>
  <c r="L63" i="19"/>
  <c r="M63" i="19"/>
  <c r="F64" i="19"/>
  <c r="L4" i="18"/>
  <c r="M4" i="18"/>
  <c r="N4" i="18"/>
  <c r="L5" i="18"/>
  <c r="M5" i="18"/>
  <c r="N5" i="18"/>
  <c r="L6" i="18"/>
  <c r="M6" i="18"/>
  <c r="N6" i="18"/>
  <c r="L7" i="18"/>
  <c r="M7" i="18"/>
  <c r="N7" i="18"/>
  <c r="L8" i="18"/>
  <c r="M8" i="18"/>
  <c r="N8" i="18"/>
  <c r="L9" i="18"/>
  <c r="M9" i="18"/>
  <c r="N9" i="18"/>
  <c r="L10" i="18"/>
  <c r="M10" i="18"/>
  <c r="N10" i="18"/>
  <c r="L11" i="18"/>
  <c r="M11" i="18"/>
  <c r="N11" i="18"/>
  <c r="L12" i="18"/>
  <c r="M12" i="18"/>
  <c r="N12" i="18"/>
  <c r="L13" i="18"/>
  <c r="M13" i="18"/>
  <c r="N13" i="18"/>
  <c r="L14" i="18"/>
  <c r="M14" i="18"/>
  <c r="N14" i="18"/>
  <c r="L15" i="18"/>
  <c r="M15" i="18"/>
  <c r="N15" i="18"/>
  <c r="E16" i="18"/>
  <c r="F16" i="18"/>
  <c r="E48" i="18" s="1"/>
  <c r="L48" i="18" s="1"/>
  <c r="G16" i="18"/>
  <c r="I16" i="18"/>
  <c r="J16" i="18"/>
  <c r="K16" i="18"/>
  <c r="L16" i="18"/>
  <c r="M16" i="18"/>
  <c r="N16" i="18"/>
  <c r="B36" i="18"/>
  <c r="C36" i="18"/>
  <c r="D36" i="18"/>
  <c r="E36" i="18"/>
  <c r="F36" i="18"/>
  <c r="I36" i="18"/>
  <c r="J36" i="18"/>
  <c r="K36" i="18"/>
  <c r="L36" i="18"/>
  <c r="M36" i="18"/>
  <c r="B37" i="18"/>
  <c r="D37" i="18"/>
  <c r="E37" i="18"/>
  <c r="L37" i="18" s="1"/>
  <c r="F37" i="18"/>
  <c r="M37" i="18" s="1"/>
  <c r="I37" i="18"/>
  <c r="K37" i="18"/>
  <c r="B38" i="18"/>
  <c r="C38" i="18"/>
  <c r="D38" i="18"/>
  <c r="K38" i="18" s="1"/>
  <c r="E38" i="18"/>
  <c r="F38" i="18"/>
  <c r="M38" i="18" s="1"/>
  <c r="I38" i="18"/>
  <c r="J38" i="18"/>
  <c r="L38" i="18"/>
  <c r="B39" i="18"/>
  <c r="C39" i="18"/>
  <c r="D39" i="18"/>
  <c r="K39" i="18" s="1"/>
  <c r="E39" i="18"/>
  <c r="F39" i="18"/>
  <c r="M39" i="18" s="1"/>
  <c r="I39" i="18"/>
  <c r="J39" i="18"/>
  <c r="L39" i="18"/>
  <c r="B40" i="18"/>
  <c r="C40" i="18"/>
  <c r="D40" i="18"/>
  <c r="K40" i="18" s="1"/>
  <c r="E40" i="18"/>
  <c r="F40" i="18"/>
  <c r="I40" i="18"/>
  <c r="J40" i="18"/>
  <c r="J56" i="18" s="1"/>
  <c r="L40" i="18"/>
  <c r="M40" i="18"/>
  <c r="B41" i="18"/>
  <c r="C41" i="18"/>
  <c r="D41" i="18"/>
  <c r="E41" i="18"/>
  <c r="L41" i="18" s="1"/>
  <c r="F41" i="18"/>
  <c r="M41" i="18" s="1"/>
  <c r="I41" i="18"/>
  <c r="J41" i="18"/>
  <c r="J57" i="18" s="1"/>
  <c r="K41" i="18"/>
  <c r="B42" i="18"/>
  <c r="C42" i="18"/>
  <c r="D42" i="18"/>
  <c r="K42" i="18" s="1"/>
  <c r="E42" i="18"/>
  <c r="L42" i="18" s="1"/>
  <c r="F42" i="18"/>
  <c r="M42" i="18" s="1"/>
  <c r="I42" i="18"/>
  <c r="J42" i="18"/>
  <c r="B43" i="18"/>
  <c r="C43" i="18"/>
  <c r="D43" i="18"/>
  <c r="K43" i="18" s="1"/>
  <c r="E43" i="18"/>
  <c r="F43" i="18"/>
  <c r="M43" i="18" s="1"/>
  <c r="I43" i="18"/>
  <c r="J43" i="18"/>
  <c r="L43" i="18"/>
  <c r="B44" i="18"/>
  <c r="C44" i="18"/>
  <c r="D44" i="18"/>
  <c r="K44" i="18" s="1"/>
  <c r="E44" i="18"/>
  <c r="F44" i="18"/>
  <c r="M44" i="18" s="1"/>
  <c r="I44" i="18"/>
  <c r="I60" i="18" s="1"/>
  <c r="J44" i="18"/>
  <c r="J60" i="18" s="1"/>
  <c r="L44" i="18"/>
  <c r="B45" i="18"/>
  <c r="C45" i="18"/>
  <c r="D45" i="18"/>
  <c r="K45" i="18" s="1"/>
  <c r="E45" i="18"/>
  <c r="L45" i="18" s="1"/>
  <c r="F45" i="18"/>
  <c r="M45" i="18" s="1"/>
  <c r="I45" i="18"/>
  <c r="J45" i="18"/>
  <c r="B46" i="18"/>
  <c r="C46" i="18"/>
  <c r="C62" i="18" s="1"/>
  <c r="D46" i="18"/>
  <c r="K46" i="18" s="1"/>
  <c r="E46" i="18"/>
  <c r="F46" i="18"/>
  <c r="M46" i="18" s="1"/>
  <c r="I46" i="18"/>
  <c r="J46" i="18"/>
  <c r="L46" i="18"/>
  <c r="B47" i="18"/>
  <c r="C47" i="18"/>
  <c r="D47" i="18"/>
  <c r="K47" i="18" s="1"/>
  <c r="E47" i="18"/>
  <c r="F47" i="18"/>
  <c r="M47" i="18" s="1"/>
  <c r="I47" i="18"/>
  <c r="J47" i="18"/>
  <c r="L47" i="18"/>
  <c r="D48" i="18"/>
  <c r="F48" i="18"/>
  <c r="M48" i="18" s="1"/>
  <c r="K48" i="18"/>
  <c r="C52" i="18"/>
  <c r="D52" i="18"/>
  <c r="E52" i="18"/>
  <c r="F52" i="18"/>
  <c r="I52" i="18"/>
  <c r="K52" i="18"/>
  <c r="K64" i="18" s="1"/>
  <c r="L52" i="18"/>
  <c r="M52" i="18"/>
  <c r="M64" i="18" s="1"/>
  <c r="D53" i="18"/>
  <c r="E53" i="18"/>
  <c r="F53" i="18"/>
  <c r="I53" i="18"/>
  <c r="K53" i="18"/>
  <c r="L53" i="18"/>
  <c r="M53" i="18"/>
  <c r="C54" i="18"/>
  <c r="D54" i="18"/>
  <c r="E54" i="18"/>
  <c r="F54" i="18"/>
  <c r="I54" i="18"/>
  <c r="J54" i="18"/>
  <c r="K54" i="18"/>
  <c r="L54" i="18"/>
  <c r="M54" i="18"/>
  <c r="C55" i="18"/>
  <c r="D55" i="18"/>
  <c r="E55" i="18"/>
  <c r="F55" i="18"/>
  <c r="I55" i="18"/>
  <c r="J55" i="18"/>
  <c r="K55" i="18"/>
  <c r="L55" i="18"/>
  <c r="M55" i="18"/>
  <c r="C56" i="18"/>
  <c r="D56" i="18"/>
  <c r="D64" i="18" s="1"/>
  <c r="E56" i="18"/>
  <c r="E64" i="18" s="1"/>
  <c r="F56" i="18"/>
  <c r="I56" i="18"/>
  <c r="K56" i="18"/>
  <c r="L56" i="18"/>
  <c r="M56" i="18"/>
  <c r="C57" i="18"/>
  <c r="D57" i="18"/>
  <c r="E57" i="18"/>
  <c r="F57" i="18"/>
  <c r="I57" i="18"/>
  <c r="K57" i="18"/>
  <c r="L57" i="18"/>
  <c r="M57" i="18"/>
  <c r="C58" i="18"/>
  <c r="D58" i="18"/>
  <c r="E58" i="18"/>
  <c r="F58" i="18"/>
  <c r="I58" i="18"/>
  <c r="J58" i="18"/>
  <c r="K58" i="18"/>
  <c r="L58" i="18"/>
  <c r="M58" i="18"/>
  <c r="C59" i="18"/>
  <c r="D59" i="18"/>
  <c r="E59" i="18"/>
  <c r="F59" i="18"/>
  <c r="I59" i="18"/>
  <c r="J59" i="18"/>
  <c r="K59" i="18"/>
  <c r="L59" i="18"/>
  <c r="L64" i="18" s="1"/>
  <c r="M59" i="18"/>
  <c r="C60" i="18"/>
  <c r="D60" i="18"/>
  <c r="E60" i="18"/>
  <c r="F60" i="18"/>
  <c r="K60" i="18"/>
  <c r="L60" i="18"/>
  <c r="M60" i="18"/>
  <c r="C61" i="18"/>
  <c r="D61" i="18"/>
  <c r="E61" i="18"/>
  <c r="F61" i="18"/>
  <c r="I61" i="18"/>
  <c r="J61" i="18"/>
  <c r="K61" i="18"/>
  <c r="L61" i="18"/>
  <c r="M61" i="18"/>
  <c r="D62" i="18"/>
  <c r="E62" i="18"/>
  <c r="F62" i="18"/>
  <c r="I62" i="18"/>
  <c r="J62" i="18"/>
  <c r="K62" i="18"/>
  <c r="L62" i="18"/>
  <c r="M62" i="18"/>
  <c r="C63" i="18"/>
  <c r="D63" i="18"/>
  <c r="E63" i="18"/>
  <c r="F63" i="18"/>
  <c r="I63" i="18"/>
  <c r="J63" i="18"/>
  <c r="K63" i="18"/>
  <c r="L63" i="18"/>
  <c r="M63" i="18"/>
  <c r="F64" i="18"/>
  <c r="L4" i="17"/>
  <c r="M4" i="17"/>
  <c r="N4" i="17"/>
  <c r="L5" i="17"/>
  <c r="M5" i="17"/>
  <c r="N5" i="17"/>
  <c r="L6" i="17"/>
  <c r="M6" i="17"/>
  <c r="N6" i="17"/>
  <c r="L7" i="17"/>
  <c r="M7" i="17"/>
  <c r="N7" i="17"/>
  <c r="L8" i="17"/>
  <c r="M8" i="17"/>
  <c r="N8" i="17"/>
  <c r="L9" i="17"/>
  <c r="M9" i="17"/>
  <c r="N9" i="17"/>
  <c r="L10" i="17"/>
  <c r="M10" i="17"/>
  <c r="N10" i="17"/>
  <c r="L11" i="17"/>
  <c r="M11" i="17"/>
  <c r="N11" i="17"/>
  <c r="L12" i="17"/>
  <c r="M12" i="17"/>
  <c r="N12" i="17"/>
  <c r="L13" i="17"/>
  <c r="M13" i="17"/>
  <c r="N13" i="17"/>
  <c r="L14" i="17"/>
  <c r="M14" i="17"/>
  <c r="N14" i="17"/>
  <c r="L15" i="17"/>
  <c r="M15" i="17"/>
  <c r="N15" i="17"/>
  <c r="E16" i="17"/>
  <c r="F16" i="17"/>
  <c r="E48" i="17" s="1"/>
  <c r="L48" i="17" s="1"/>
  <c r="G16" i="17"/>
  <c r="I16" i="17"/>
  <c r="J16" i="17"/>
  <c r="K16" i="17"/>
  <c r="F48" i="17" s="1"/>
  <c r="M48" i="17" s="1"/>
  <c r="L16" i="17"/>
  <c r="M16" i="17"/>
  <c r="B36" i="17"/>
  <c r="C36" i="17"/>
  <c r="D36" i="17"/>
  <c r="E36" i="17"/>
  <c r="F36" i="17"/>
  <c r="M36" i="17" s="1"/>
  <c r="I36" i="17"/>
  <c r="J36" i="17"/>
  <c r="K36" i="17"/>
  <c r="L36" i="17"/>
  <c r="B37" i="17"/>
  <c r="D37" i="17"/>
  <c r="K37" i="17" s="1"/>
  <c r="E37" i="17"/>
  <c r="L37" i="17" s="1"/>
  <c r="F37" i="17"/>
  <c r="M37" i="17" s="1"/>
  <c r="I37" i="17"/>
  <c r="B38" i="17"/>
  <c r="C38" i="17"/>
  <c r="C54" i="17" s="1"/>
  <c r="D38" i="17"/>
  <c r="K38" i="17" s="1"/>
  <c r="E38" i="17"/>
  <c r="F38" i="17"/>
  <c r="M38" i="17" s="1"/>
  <c r="I38" i="17"/>
  <c r="J38" i="17"/>
  <c r="L38" i="17"/>
  <c r="B39" i="17"/>
  <c r="C39" i="17"/>
  <c r="D39" i="17"/>
  <c r="K39" i="17" s="1"/>
  <c r="E39" i="17"/>
  <c r="F39" i="17"/>
  <c r="I39" i="17"/>
  <c r="J39" i="17"/>
  <c r="L39" i="17"/>
  <c r="M39" i="17"/>
  <c r="B40" i="17"/>
  <c r="C40" i="17"/>
  <c r="D40" i="17"/>
  <c r="E40" i="17"/>
  <c r="F40" i="17"/>
  <c r="M40" i="17" s="1"/>
  <c r="I40" i="17"/>
  <c r="J40" i="17"/>
  <c r="J56" i="17" s="1"/>
  <c r="K40" i="17"/>
  <c r="L40" i="17"/>
  <c r="B41" i="17"/>
  <c r="C41" i="17"/>
  <c r="D41" i="17"/>
  <c r="K41" i="17" s="1"/>
  <c r="E41" i="17"/>
  <c r="L41" i="17" s="1"/>
  <c r="F41" i="17"/>
  <c r="M41" i="17" s="1"/>
  <c r="I41" i="17"/>
  <c r="J41" i="17"/>
  <c r="J57" i="17" s="1"/>
  <c r="B42" i="17"/>
  <c r="C42" i="17"/>
  <c r="D42" i="17"/>
  <c r="K42" i="17" s="1"/>
  <c r="E42" i="17"/>
  <c r="F42" i="17"/>
  <c r="M42" i="17" s="1"/>
  <c r="I42" i="17"/>
  <c r="J42" i="17"/>
  <c r="L42" i="17"/>
  <c r="B43" i="17"/>
  <c r="C43" i="17"/>
  <c r="D43" i="17"/>
  <c r="K43" i="17" s="1"/>
  <c r="E43" i="17"/>
  <c r="F43" i="17"/>
  <c r="I43" i="17"/>
  <c r="J43" i="17"/>
  <c r="L43" i="17"/>
  <c r="M43" i="17"/>
  <c r="B44" i="17"/>
  <c r="C44" i="17"/>
  <c r="D44" i="17"/>
  <c r="E44" i="17"/>
  <c r="F44" i="17"/>
  <c r="M44" i="17" s="1"/>
  <c r="I44" i="17"/>
  <c r="J44" i="17"/>
  <c r="J60" i="17" s="1"/>
  <c r="K44" i="17"/>
  <c r="L44" i="17"/>
  <c r="B45" i="17"/>
  <c r="C45" i="17"/>
  <c r="D45" i="17"/>
  <c r="K45" i="17" s="1"/>
  <c r="E45" i="17"/>
  <c r="L45" i="17" s="1"/>
  <c r="F45" i="17"/>
  <c r="M45" i="17" s="1"/>
  <c r="I45" i="17"/>
  <c r="J45" i="17"/>
  <c r="B46" i="17"/>
  <c r="C46" i="17"/>
  <c r="C62" i="17" s="1"/>
  <c r="D46" i="17"/>
  <c r="K46" i="17" s="1"/>
  <c r="E46" i="17"/>
  <c r="F46" i="17"/>
  <c r="M46" i="17" s="1"/>
  <c r="I46" i="17"/>
  <c r="J46" i="17"/>
  <c r="L46" i="17"/>
  <c r="B47" i="17"/>
  <c r="C47" i="17"/>
  <c r="D47" i="17"/>
  <c r="K47" i="17" s="1"/>
  <c r="E47" i="17"/>
  <c r="F47" i="17"/>
  <c r="I47" i="17"/>
  <c r="J47" i="17"/>
  <c r="L47" i="17"/>
  <c r="M47" i="17"/>
  <c r="D48" i="17"/>
  <c r="K48" i="17"/>
  <c r="C52" i="17"/>
  <c r="D52" i="17"/>
  <c r="E52" i="17"/>
  <c r="F52" i="17"/>
  <c r="I52" i="17"/>
  <c r="K52" i="17"/>
  <c r="K64" i="17" s="1"/>
  <c r="L52" i="17"/>
  <c r="M52" i="17"/>
  <c r="M64" i="17" s="1"/>
  <c r="D53" i="17"/>
  <c r="E53" i="17"/>
  <c r="F53" i="17"/>
  <c r="I53" i="17"/>
  <c r="K53" i="17"/>
  <c r="L53" i="17"/>
  <c r="M53" i="17"/>
  <c r="D54" i="17"/>
  <c r="E54" i="17"/>
  <c r="F54" i="17"/>
  <c r="I54" i="17"/>
  <c r="J54" i="17"/>
  <c r="K54" i="17"/>
  <c r="L54" i="17"/>
  <c r="M54" i="17"/>
  <c r="C55" i="17"/>
  <c r="D55" i="17"/>
  <c r="E55" i="17"/>
  <c r="F55" i="17"/>
  <c r="I55" i="17"/>
  <c r="J55" i="17"/>
  <c r="K55" i="17"/>
  <c r="L55" i="17"/>
  <c r="M55" i="17"/>
  <c r="C56" i="17"/>
  <c r="D56" i="17"/>
  <c r="E56" i="17"/>
  <c r="E64" i="17" s="1"/>
  <c r="F56" i="17"/>
  <c r="I56" i="17"/>
  <c r="K56" i="17"/>
  <c r="L56" i="17"/>
  <c r="M56" i="17"/>
  <c r="C57" i="17"/>
  <c r="D57" i="17"/>
  <c r="D64" i="17" s="1"/>
  <c r="E57" i="17"/>
  <c r="F57" i="17"/>
  <c r="I57" i="17"/>
  <c r="K57" i="17"/>
  <c r="L57" i="17"/>
  <c r="M57" i="17"/>
  <c r="C58" i="17"/>
  <c r="D58" i="17"/>
  <c r="E58" i="17"/>
  <c r="F58" i="17"/>
  <c r="I58" i="17"/>
  <c r="J58" i="17"/>
  <c r="K58" i="17"/>
  <c r="L58" i="17"/>
  <c r="M58" i="17"/>
  <c r="C59" i="17"/>
  <c r="D59" i="17"/>
  <c r="E59" i="17"/>
  <c r="F59" i="17"/>
  <c r="I59" i="17"/>
  <c r="J59" i="17"/>
  <c r="K59" i="17"/>
  <c r="L59" i="17"/>
  <c r="M59" i="17"/>
  <c r="C60" i="17"/>
  <c r="D60" i="17"/>
  <c r="E60" i="17"/>
  <c r="F60" i="17"/>
  <c r="I60" i="17"/>
  <c r="K60" i="17"/>
  <c r="L60" i="17"/>
  <c r="M60" i="17"/>
  <c r="C61" i="17"/>
  <c r="D61" i="17"/>
  <c r="E61" i="17"/>
  <c r="F61" i="17"/>
  <c r="I61" i="17"/>
  <c r="J61" i="17"/>
  <c r="K61" i="17"/>
  <c r="L61" i="17"/>
  <c r="M61" i="17"/>
  <c r="D62" i="17"/>
  <c r="E62" i="17"/>
  <c r="F62" i="17"/>
  <c r="I62" i="17"/>
  <c r="J62" i="17"/>
  <c r="K62" i="17"/>
  <c r="L62" i="17"/>
  <c r="M62" i="17"/>
  <c r="C63" i="17"/>
  <c r="D63" i="17"/>
  <c r="E63" i="17"/>
  <c r="F63" i="17"/>
  <c r="I63" i="17"/>
  <c r="J63" i="17"/>
  <c r="K63" i="17"/>
  <c r="L63" i="17"/>
  <c r="M63" i="17"/>
  <c r="F64" i="17"/>
  <c r="L64" i="17"/>
  <c r="L4" i="16"/>
  <c r="M4" i="16"/>
  <c r="N4" i="16"/>
  <c r="L5" i="16"/>
  <c r="M5" i="16"/>
  <c r="N5" i="16"/>
  <c r="L6" i="16"/>
  <c r="M6" i="16"/>
  <c r="N6" i="16"/>
  <c r="L7" i="16"/>
  <c r="M7" i="16"/>
  <c r="N7" i="16"/>
  <c r="L8" i="16"/>
  <c r="M8" i="16"/>
  <c r="N8" i="16"/>
  <c r="L9" i="16"/>
  <c r="M9" i="16"/>
  <c r="N9" i="16"/>
  <c r="L10" i="16"/>
  <c r="M10" i="16"/>
  <c r="N10" i="16"/>
  <c r="L11" i="16"/>
  <c r="M11" i="16"/>
  <c r="N11" i="16"/>
  <c r="L12" i="16"/>
  <c r="M12" i="16"/>
  <c r="N12" i="16"/>
  <c r="L13" i="16"/>
  <c r="M13" i="16"/>
  <c r="N13" i="16"/>
  <c r="L14" i="16"/>
  <c r="M14" i="16"/>
  <c r="N14" i="16"/>
  <c r="L15" i="16"/>
  <c r="M15" i="16"/>
  <c r="N15" i="16"/>
  <c r="E16" i="16"/>
  <c r="F16" i="16"/>
  <c r="E48" i="16" s="1"/>
  <c r="L48" i="16" s="1"/>
  <c r="G16" i="16"/>
  <c r="I16" i="16"/>
  <c r="J16" i="16"/>
  <c r="K16" i="16"/>
  <c r="F48" i="16" s="1"/>
  <c r="M48" i="16" s="1"/>
  <c r="L16" i="16"/>
  <c r="M16" i="16"/>
  <c r="B36" i="16"/>
  <c r="C36" i="16"/>
  <c r="D36" i="16"/>
  <c r="E36" i="16"/>
  <c r="F36" i="16"/>
  <c r="M36" i="16" s="1"/>
  <c r="I36" i="16"/>
  <c r="J36" i="16"/>
  <c r="K36" i="16"/>
  <c r="L36" i="16"/>
  <c r="B37" i="16"/>
  <c r="D37" i="16"/>
  <c r="K37" i="16" s="1"/>
  <c r="E37" i="16"/>
  <c r="L37" i="16" s="1"/>
  <c r="F37" i="16"/>
  <c r="M37" i="16" s="1"/>
  <c r="I37" i="16"/>
  <c r="B38" i="16"/>
  <c r="C38" i="16"/>
  <c r="C54" i="16" s="1"/>
  <c r="D38" i="16"/>
  <c r="K38" i="16" s="1"/>
  <c r="E38" i="16"/>
  <c r="F38" i="16"/>
  <c r="M38" i="16" s="1"/>
  <c r="I38" i="16"/>
  <c r="J38" i="16"/>
  <c r="L38" i="16"/>
  <c r="B39" i="16"/>
  <c r="C39" i="16"/>
  <c r="D39" i="16"/>
  <c r="K39" i="16" s="1"/>
  <c r="E39" i="16"/>
  <c r="F39" i="16"/>
  <c r="I39" i="16"/>
  <c r="J39" i="16"/>
  <c r="L39" i="16"/>
  <c r="M39" i="16"/>
  <c r="B40" i="16"/>
  <c r="C40" i="16"/>
  <c r="D40" i="16"/>
  <c r="E40" i="16"/>
  <c r="F40" i="16"/>
  <c r="M40" i="16" s="1"/>
  <c r="I40" i="16"/>
  <c r="J40" i="16"/>
  <c r="J56" i="16" s="1"/>
  <c r="K40" i="16"/>
  <c r="L40" i="16"/>
  <c r="B41" i="16"/>
  <c r="C41" i="16"/>
  <c r="D41" i="16"/>
  <c r="K41" i="16" s="1"/>
  <c r="E41" i="16"/>
  <c r="L41" i="16" s="1"/>
  <c r="F41" i="16"/>
  <c r="M41" i="16" s="1"/>
  <c r="I41" i="16"/>
  <c r="J41" i="16"/>
  <c r="J57" i="16" s="1"/>
  <c r="B42" i="16"/>
  <c r="C42" i="16"/>
  <c r="D42" i="16"/>
  <c r="K42" i="16" s="1"/>
  <c r="E42" i="16"/>
  <c r="F42" i="16"/>
  <c r="M42" i="16" s="1"/>
  <c r="I42" i="16"/>
  <c r="J42" i="16"/>
  <c r="L42" i="16"/>
  <c r="B43" i="16"/>
  <c r="C43" i="16"/>
  <c r="D43" i="16"/>
  <c r="K43" i="16" s="1"/>
  <c r="E43" i="16"/>
  <c r="F43" i="16"/>
  <c r="I43" i="16"/>
  <c r="J43" i="16"/>
  <c r="L43" i="16"/>
  <c r="M43" i="16"/>
  <c r="B44" i="16"/>
  <c r="C44" i="16"/>
  <c r="D44" i="16"/>
  <c r="E44" i="16"/>
  <c r="F44" i="16"/>
  <c r="M44" i="16" s="1"/>
  <c r="I44" i="16"/>
  <c r="J44" i="16"/>
  <c r="J60" i="16" s="1"/>
  <c r="K44" i="16"/>
  <c r="L44" i="16"/>
  <c r="B45" i="16"/>
  <c r="C45" i="16"/>
  <c r="D45" i="16"/>
  <c r="K45" i="16" s="1"/>
  <c r="E45" i="16"/>
  <c r="L45" i="16" s="1"/>
  <c r="F45" i="16"/>
  <c r="M45" i="16" s="1"/>
  <c r="I45" i="16"/>
  <c r="J45" i="16"/>
  <c r="B46" i="16"/>
  <c r="C46" i="16"/>
  <c r="C62" i="16" s="1"/>
  <c r="D46" i="16"/>
  <c r="K46" i="16" s="1"/>
  <c r="E46" i="16"/>
  <c r="F46" i="16"/>
  <c r="M46" i="16" s="1"/>
  <c r="I46" i="16"/>
  <c r="J46" i="16"/>
  <c r="L46" i="16"/>
  <c r="B47" i="16"/>
  <c r="C47" i="16"/>
  <c r="D47" i="16"/>
  <c r="K47" i="16" s="1"/>
  <c r="E47" i="16"/>
  <c r="F47" i="16"/>
  <c r="I47" i="16"/>
  <c r="J47" i="16"/>
  <c r="L47" i="16"/>
  <c r="M47" i="16"/>
  <c r="D48" i="16"/>
  <c r="K48" i="16"/>
  <c r="C52" i="16"/>
  <c r="D52" i="16"/>
  <c r="E52" i="16"/>
  <c r="F52" i="16"/>
  <c r="I52" i="16"/>
  <c r="K52" i="16"/>
  <c r="K64" i="16" s="1"/>
  <c r="L52" i="16"/>
  <c r="M52" i="16"/>
  <c r="M64" i="16" s="1"/>
  <c r="D53" i="16"/>
  <c r="E53" i="16"/>
  <c r="F53" i="16"/>
  <c r="I53" i="16"/>
  <c r="K53" i="16"/>
  <c r="L53" i="16"/>
  <c r="M53" i="16"/>
  <c r="D54" i="16"/>
  <c r="E54" i="16"/>
  <c r="F54" i="16"/>
  <c r="I54" i="16"/>
  <c r="J54" i="16"/>
  <c r="K54" i="16"/>
  <c r="L54" i="16"/>
  <c r="M54" i="16"/>
  <c r="C55" i="16"/>
  <c r="D55" i="16"/>
  <c r="E55" i="16"/>
  <c r="F55" i="16"/>
  <c r="I55" i="16"/>
  <c r="J55" i="16"/>
  <c r="K55" i="16"/>
  <c r="L55" i="16"/>
  <c r="M55" i="16"/>
  <c r="C56" i="16"/>
  <c r="D56" i="16"/>
  <c r="E56" i="16"/>
  <c r="E64" i="16" s="1"/>
  <c r="F56" i="16"/>
  <c r="I56" i="16"/>
  <c r="K56" i="16"/>
  <c r="L56" i="16"/>
  <c r="M56" i="16"/>
  <c r="C57" i="16"/>
  <c r="D57" i="16"/>
  <c r="D64" i="16" s="1"/>
  <c r="E57" i="16"/>
  <c r="F57" i="16"/>
  <c r="I57" i="16"/>
  <c r="K57" i="16"/>
  <c r="L57" i="16"/>
  <c r="M57" i="16"/>
  <c r="C58" i="16"/>
  <c r="D58" i="16"/>
  <c r="E58" i="16"/>
  <c r="F58" i="16"/>
  <c r="I58" i="16"/>
  <c r="J58" i="16"/>
  <c r="K58" i="16"/>
  <c r="L58" i="16"/>
  <c r="M58" i="16"/>
  <c r="C59" i="16"/>
  <c r="D59" i="16"/>
  <c r="E59" i="16"/>
  <c r="F59" i="16"/>
  <c r="I59" i="16"/>
  <c r="J59" i="16"/>
  <c r="K59" i="16"/>
  <c r="L59" i="16"/>
  <c r="L64" i="16" s="1"/>
  <c r="M59" i="16"/>
  <c r="C60" i="16"/>
  <c r="D60" i="16"/>
  <c r="E60" i="16"/>
  <c r="F60" i="16"/>
  <c r="I60" i="16"/>
  <c r="K60" i="16"/>
  <c r="L60" i="16"/>
  <c r="M60" i="16"/>
  <c r="C61" i="16"/>
  <c r="D61" i="16"/>
  <c r="E61" i="16"/>
  <c r="F61" i="16"/>
  <c r="I61" i="16"/>
  <c r="J61" i="16"/>
  <c r="K61" i="16"/>
  <c r="L61" i="16"/>
  <c r="M61" i="16"/>
  <c r="D62" i="16"/>
  <c r="E62" i="16"/>
  <c r="F62" i="16"/>
  <c r="I62" i="16"/>
  <c r="J62" i="16"/>
  <c r="K62" i="16"/>
  <c r="L62" i="16"/>
  <c r="M62" i="16"/>
  <c r="C63" i="16"/>
  <c r="D63" i="16"/>
  <c r="E63" i="16"/>
  <c r="F63" i="16"/>
  <c r="I63" i="16"/>
  <c r="J63" i="16"/>
  <c r="K63" i="16"/>
  <c r="L63" i="16"/>
  <c r="M63" i="16"/>
  <c r="F64" i="16"/>
  <c r="L4" i="15"/>
  <c r="M4" i="15"/>
  <c r="N4" i="15"/>
  <c r="L5" i="15"/>
  <c r="M5" i="15"/>
  <c r="N5" i="15"/>
  <c r="L6" i="15"/>
  <c r="M6" i="15"/>
  <c r="N6" i="15"/>
  <c r="L7" i="15"/>
  <c r="M7" i="15"/>
  <c r="N7" i="15"/>
  <c r="L8" i="15"/>
  <c r="M8" i="15"/>
  <c r="N8" i="15"/>
  <c r="L9" i="15"/>
  <c r="M9" i="15"/>
  <c r="N9" i="15"/>
  <c r="L10" i="15"/>
  <c r="M10" i="15"/>
  <c r="N10" i="15"/>
  <c r="L11" i="15"/>
  <c r="M11" i="15"/>
  <c r="N11" i="15"/>
  <c r="L12" i="15"/>
  <c r="M12" i="15"/>
  <c r="N12" i="15"/>
  <c r="L13" i="15"/>
  <c r="M13" i="15"/>
  <c r="N13" i="15"/>
  <c r="L14" i="15"/>
  <c r="M14" i="15"/>
  <c r="N14" i="15"/>
  <c r="L15" i="15"/>
  <c r="M15" i="15"/>
  <c r="N15" i="15"/>
  <c r="E16" i="15"/>
  <c r="F16" i="15"/>
  <c r="G16" i="15"/>
  <c r="N16" i="15" s="1"/>
  <c r="I16" i="15"/>
  <c r="L16" i="15" s="1"/>
  <c r="J16" i="15"/>
  <c r="K16" i="15"/>
  <c r="F48" i="15" s="1"/>
  <c r="M48" i="15" s="1"/>
  <c r="M16" i="15"/>
  <c r="B36" i="15"/>
  <c r="C36" i="15"/>
  <c r="D36" i="15"/>
  <c r="K36" i="15" s="1"/>
  <c r="E36" i="15"/>
  <c r="F36" i="15"/>
  <c r="M36" i="15" s="1"/>
  <c r="I36" i="15"/>
  <c r="J36" i="15"/>
  <c r="L36" i="15"/>
  <c r="B37" i="15"/>
  <c r="D37" i="15"/>
  <c r="K37" i="15" s="1"/>
  <c r="E37" i="15"/>
  <c r="F37" i="15"/>
  <c r="M37" i="15" s="1"/>
  <c r="I37" i="15"/>
  <c r="L37" i="15"/>
  <c r="B38" i="15"/>
  <c r="C38" i="15"/>
  <c r="D38" i="15"/>
  <c r="K38" i="15" s="1"/>
  <c r="E38" i="15"/>
  <c r="F38" i="15"/>
  <c r="I38" i="15"/>
  <c r="J38" i="15"/>
  <c r="L38" i="15"/>
  <c r="M38" i="15"/>
  <c r="B39" i="15"/>
  <c r="C39" i="15"/>
  <c r="C55" i="15" s="1"/>
  <c r="D39" i="15"/>
  <c r="E39" i="15"/>
  <c r="F39" i="15"/>
  <c r="M39" i="15" s="1"/>
  <c r="I39" i="15"/>
  <c r="J39" i="15"/>
  <c r="K39" i="15"/>
  <c r="L39" i="15"/>
  <c r="B40" i="15"/>
  <c r="C40" i="15"/>
  <c r="D40" i="15"/>
  <c r="K40" i="15" s="1"/>
  <c r="E40" i="15"/>
  <c r="F40" i="15"/>
  <c r="M40" i="15" s="1"/>
  <c r="I40" i="15"/>
  <c r="J40" i="15"/>
  <c r="J56" i="15" s="1"/>
  <c r="L40" i="15"/>
  <c r="B41" i="15"/>
  <c r="C41" i="15"/>
  <c r="D41" i="15"/>
  <c r="K41" i="15" s="1"/>
  <c r="E41" i="15"/>
  <c r="F41" i="15"/>
  <c r="M41" i="15" s="1"/>
  <c r="I41" i="15"/>
  <c r="J41" i="15"/>
  <c r="L41" i="15"/>
  <c r="B42" i="15"/>
  <c r="C42" i="15"/>
  <c r="D42" i="15"/>
  <c r="K42" i="15" s="1"/>
  <c r="E42" i="15"/>
  <c r="F42" i="15"/>
  <c r="I42" i="15"/>
  <c r="J42" i="15"/>
  <c r="J58" i="15" s="1"/>
  <c r="L42" i="15"/>
  <c r="M42" i="15"/>
  <c r="B43" i="15"/>
  <c r="C43" i="15"/>
  <c r="D43" i="15"/>
  <c r="E43" i="15"/>
  <c r="F43" i="15"/>
  <c r="M43" i="15" s="1"/>
  <c r="I43" i="15"/>
  <c r="J43" i="15"/>
  <c r="K43" i="15"/>
  <c r="L43" i="15"/>
  <c r="B44" i="15"/>
  <c r="C44" i="15"/>
  <c r="D44" i="15"/>
  <c r="K44" i="15" s="1"/>
  <c r="E44" i="15"/>
  <c r="F44" i="15"/>
  <c r="M44" i="15" s="1"/>
  <c r="I44" i="15"/>
  <c r="J44" i="15"/>
  <c r="J60" i="15" s="1"/>
  <c r="L44" i="15"/>
  <c r="B45" i="15"/>
  <c r="C45" i="15"/>
  <c r="D45" i="15"/>
  <c r="K45" i="15" s="1"/>
  <c r="E45" i="15"/>
  <c r="L45" i="15" s="1"/>
  <c r="F45" i="15"/>
  <c r="M45" i="15" s="1"/>
  <c r="I45" i="15"/>
  <c r="J45" i="15"/>
  <c r="B46" i="15"/>
  <c r="C46" i="15"/>
  <c r="D46" i="15"/>
  <c r="K46" i="15" s="1"/>
  <c r="E46" i="15"/>
  <c r="F46" i="15"/>
  <c r="I46" i="15"/>
  <c r="J46" i="15"/>
  <c r="L46" i="15"/>
  <c r="M46" i="15"/>
  <c r="B47" i="15"/>
  <c r="C47" i="15"/>
  <c r="C63" i="15" s="1"/>
  <c r="D47" i="15"/>
  <c r="E47" i="15"/>
  <c r="F47" i="15"/>
  <c r="M47" i="15" s="1"/>
  <c r="I47" i="15"/>
  <c r="J47" i="15"/>
  <c r="K47" i="15"/>
  <c r="L47" i="15"/>
  <c r="D48" i="15"/>
  <c r="E48" i="15"/>
  <c r="K48" i="15"/>
  <c r="L48" i="15"/>
  <c r="C52" i="15"/>
  <c r="D52" i="15"/>
  <c r="E52" i="15"/>
  <c r="F52" i="15"/>
  <c r="I52" i="15"/>
  <c r="K52" i="15"/>
  <c r="L52" i="15"/>
  <c r="M52" i="15"/>
  <c r="D53" i="15"/>
  <c r="E53" i="15"/>
  <c r="F53" i="15"/>
  <c r="I53" i="15"/>
  <c r="K53" i="15"/>
  <c r="L53" i="15"/>
  <c r="M53" i="15"/>
  <c r="C54" i="15"/>
  <c r="D54" i="15"/>
  <c r="E54" i="15"/>
  <c r="F54" i="15"/>
  <c r="I54" i="15"/>
  <c r="J54" i="15"/>
  <c r="K54" i="15"/>
  <c r="L54" i="15"/>
  <c r="M54" i="15"/>
  <c r="D55" i="15"/>
  <c r="E55" i="15"/>
  <c r="F55" i="15"/>
  <c r="I55" i="15"/>
  <c r="J55" i="15"/>
  <c r="K55" i="15"/>
  <c r="L55" i="15"/>
  <c r="M55" i="15"/>
  <c r="C56" i="15"/>
  <c r="D56" i="15"/>
  <c r="E56" i="15"/>
  <c r="E64" i="15" s="1"/>
  <c r="D24" i="14" s="1"/>
  <c r="F56" i="15"/>
  <c r="I56" i="15"/>
  <c r="K56" i="15"/>
  <c r="L56" i="15"/>
  <c r="M56" i="15"/>
  <c r="C57" i="15"/>
  <c r="D57" i="15"/>
  <c r="D22" i="14" s="1"/>
  <c r="E57" i="15"/>
  <c r="F57" i="15"/>
  <c r="I57" i="15"/>
  <c r="J57" i="15"/>
  <c r="K57" i="15"/>
  <c r="L57" i="15"/>
  <c r="M57" i="15"/>
  <c r="C58" i="15"/>
  <c r="D58" i="15"/>
  <c r="E58" i="15"/>
  <c r="F58" i="15"/>
  <c r="I58" i="15"/>
  <c r="K58" i="15"/>
  <c r="L58" i="15"/>
  <c r="L64" i="15" s="1"/>
  <c r="D25" i="14" s="1"/>
  <c r="M58" i="15"/>
  <c r="M64" i="15" s="1"/>
  <c r="C59" i="15"/>
  <c r="D59" i="15"/>
  <c r="E59" i="15"/>
  <c r="F59" i="15"/>
  <c r="I59" i="15"/>
  <c r="J59" i="15"/>
  <c r="K59" i="15"/>
  <c r="L59" i="15"/>
  <c r="M59" i="15"/>
  <c r="C60" i="15"/>
  <c r="D60" i="15"/>
  <c r="E60" i="15"/>
  <c r="F60" i="15"/>
  <c r="I60" i="15"/>
  <c r="K60" i="15"/>
  <c r="L60" i="15"/>
  <c r="M60" i="15"/>
  <c r="C61" i="15"/>
  <c r="D61" i="15"/>
  <c r="E61" i="15"/>
  <c r="F61" i="15"/>
  <c r="I61" i="15"/>
  <c r="J61" i="15"/>
  <c r="K61" i="15"/>
  <c r="L61" i="15"/>
  <c r="M61" i="15"/>
  <c r="C62" i="15"/>
  <c r="D62" i="15"/>
  <c r="E62" i="15"/>
  <c r="F62" i="15"/>
  <c r="I62" i="15"/>
  <c r="J62" i="15"/>
  <c r="K62" i="15"/>
  <c r="L62" i="15"/>
  <c r="M62" i="15"/>
  <c r="D63" i="15"/>
  <c r="E63" i="15"/>
  <c r="F63" i="15"/>
  <c r="I63" i="15"/>
  <c r="J63" i="15"/>
  <c r="K63" i="15"/>
  <c r="L63" i="15"/>
  <c r="M63" i="15"/>
  <c r="F64" i="15"/>
  <c r="D33" i="14"/>
  <c r="B33" i="14"/>
  <c r="D32" i="14"/>
  <c r="B32" i="14"/>
  <c r="D30" i="14"/>
  <c r="D29" i="14"/>
  <c r="D28" i="14"/>
  <c r="D27" i="14"/>
  <c r="D26" i="14"/>
  <c r="B40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P25" i="12"/>
  <c r="P24" i="12"/>
  <c r="P23" i="12"/>
  <c r="P22" i="12"/>
  <c r="P21" i="12"/>
  <c r="P20" i="12"/>
  <c r="P19" i="12"/>
  <c r="P18" i="12"/>
  <c r="P17" i="12"/>
  <c r="P16" i="12"/>
  <c r="P15" i="12"/>
  <c r="P14" i="12"/>
  <c r="P13" i="12"/>
  <c r="P12" i="12"/>
  <c r="P11" i="12"/>
  <c r="B10" i="12"/>
  <c r="B13" i="12"/>
  <c r="B14" i="12" s="1"/>
  <c r="B8" i="12"/>
  <c r="B28" i="12" s="1"/>
  <c r="B31" i="12" s="1"/>
  <c r="Y94" i="8" l="1"/>
  <c r="AM96" i="8" s="1"/>
  <c r="Y93" i="8"/>
  <c r="AR95" i="8" s="1"/>
  <c r="AR81" i="8" s="1"/>
  <c r="D23" i="14"/>
  <c r="D16" i="18"/>
  <c r="C37" i="16"/>
  <c r="C37" i="18"/>
  <c r="C37" i="19"/>
  <c r="C53" i="19" s="1"/>
  <c r="D16" i="16"/>
  <c r="D16" i="19"/>
  <c r="J20" i="21"/>
  <c r="F21" i="21"/>
  <c r="H21" i="21" s="1"/>
  <c r="I21" i="21" s="1"/>
  <c r="J21" i="21" s="1"/>
  <c r="F22" i="21"/>
  <c r="H22" i="21" s="1"/>
  <c r="I22" i="21" s="1"/>
  <c r="J22" i="21" s="1"/>
  <c r="F23" i="21"/>
  <c r="H23" i="21" s="1"/>
  <c r="I23" i="21" s="1"/>
  <c r="J23" i="21" s="1"/>
  <c r="F20" i="20"/>
  <c r="H20" i="20" s="1"/>
  <c r="I20" i="20" s="1"/>
  <c r="J20" i="20" s="1"/>
  <c r="M20" i="20"/>
  <c r="N20" i="20" s="1"/>
  <c r="O20" i="20" s="1"/>
  <c r="F21" i="20"/>
  <c r="H21" i="20" s="1"/>
  <c r="I21" i="20" s="1"/>
  <c r="J21" i="20" s="1"/>
  <c r="F22" i="20"/>
  <c r="H22" i="20" s="1"/>
  <c r="I22" i="20" s="1"/>
  <c r="J22" i="20" s="1"/>
  <c r="F23" i="20"/>
  <c r="H23" i="20" s="1"/>
  <c r="I23" i="20" s="1"/>
  <c r="J23" i="20" s="1"/>
  <c r="J48" i="16"/>
  <c r="D16" i="17"/>
  <c r="J37" i="17"/>
  <c r="J53" i="17" s="1"/>
  <c r="J48" i="17"/>
  <c r="J48" i="18"/>
  <c r="J48" i="19"/>
  <c r="C48" i="19"/>
  <c r="J52" i="19"/>
  <c r="J52" i="18"/>
  <c r="C53" i="17"/>
  <c r="C48" i="17"/>
  <c r="N16" i="17"/>
  <c r="J52" i="17"/>
  <c r="C53" i="16"/>
  <c r="C48" i="16"/>
  <c r="N16" i="16"/>
  <c r="J52" i="16"/>
  <c r="C53" i="15"/>
  <c r="C48" i="15"/>
  <c r="J37" i="15"/>
  <c r="J53" i="15" s="1"/>
  <c r="D16" i="15"/>
  <c r="J52" i="15"/>
  <c r="H23" i="12"/>
  <c r="H35" i="12" s="1"/>
  <c r="H25" i="12"/>
  <c r="H36" i="12" s="1"/>
  <c r="B36" i="12"/>
  <c r="B27" i="12"/>
  <c r="B15" i="12"/>
  <c r="AB96" i="8" l="1"/>
  <c r="AN96" i="8"/>
  <c r="AY96" i="8"/>
  <c r="AX96" i="8"/>
  <c r="AH96" i="8"/>
  <c r="AT96" i="8"/>
  <c r="AS96" i="8"/>
  <c r="AG96" i="8"/>
  <c r="AL96" i="8"/>
  <c r="AR96" i="8"/>
  <c r="AF96" i="8"/>
  <c r="AD96" i="8"/>
  <c r="AW96" i="8"/>
  <c r="AQ96" i="8"/>
  <c r="AK96" i="8"/>
  <c r="AE96" i="8"/>
  <c r="AV96" i="8"/>
  <c r="AP96" i="8"/>
  <c r="AJ96" i="8"/>
  <c r="AU96" i="8"/>
  <c r="AO96" i="8"/>
  <c r="AI96" i="8"/>
  <c r="AC96" i="8"/>
  <c r="AB95" i="8"/>
  <c r="AB81" i="8" s="1"/>
  <c r="AS95" i="8"/>
  <c r="AS81" i="8" s="1"/>
  <c r="AU95" i="8"/>
  <c r="AU81" i="8" s="1"/>
  <c r="AL95" i="8"/>
  <c r="AL81" i="8" s="1"/>
  <c r="AP95" i="8"/>
  <c r="AP81" i="8" s="1"/>
  <c r="AD95" i="8"/>
  <c r="AD81" i="8" s="1"/>
  <c r="AG95" i="8"/>
  <c r="AG81" i="8" s="1"/>
  <c r="AO95" i="8"/>
  <c r="AO81" i="8" s="1"/>
  <c r="AV95" i="8"/>
  <c r="AV81" i="8" s="1"/>
  <c r="AJ95" i="8"/>
  <c r="AJ81" i="8" s="1"/>
  <c r="AM95" i="8"/>
  <c r="AM81" i="8" s="1"/>
  <c r="AY95" i="8"/>
  <c r="AY81" i="8" s="1"/>
  <c r="AI95" i="8"/>
  <c r="AI81" i="8" s="1"/>
  <c r="AC95" i="8"/>
  <c r="AC81" i="8" s="1"/>
  <c r="AT95" i="8"/>
  <c r="AT81" i="8" s="1"/>
  <c r="AH95" i="8"/>
  <c r="AH81" i="8" s="1"/>
  <c r="AE95" i="8"/>
  <c r="AE81" i="8" s="1"/>
  <c r="AF95" i="8"/>
  <c r="AF81" i="8" s="1"/>
  <c r="AW95" i="8"/>
  <c r="AW81" i="8" s="1"/>
  <c r="AQ95" i="8"/>
  <c r="AQ81" i="8" s="1"/>
  <c r="AN95" i="8"/>
  <c r="AN81" i="8" s="1"/>
  <c r="AK95" i="8"/>
  <c r="AK81" i="8" s="1"/>
  <c r="AX95" i="8"/>
  <c r="AX81" i="8" s="1"/>
  <c r="C48" i="18"/>
  <c r="C53" i="18"/>
  <c r="I24" i="21"/>
  <c r="J24" i="21"/>
  <c r="I24" i="20"/>
  <c r="J48" i="15"/>
  <c r="H39" i="12"/>
  <c r="B39" i="12"/>
  <c r="H38" i="12"/>
  <c r="H40" i="12"/>
  <c r="B30" i="12"/>
  <c r="B35" i="12"/>
  <c r="B38" i="12" s="1"/>
  <c r="K22" i="21" l="1"/>
  <c r="L22" i="21" s="1"/>
  <c r="M22" i="21" s="1"/>
  <c r="N22" i="21" s="1"/>
  <c r="O22" i="21" s="1"/>
  <c r="K23" i="21"/>
  <c r="L23" i="21" s="1"/>
  <c r="M23" i="21" s="1"/>
  <c r="N23" i="21" s="1"/>
  <c r="O23" i="21" s="1"/>
  <c r="K21" i="21"/>
  <c r="K21" i="20"/>
  <c r="K22" i="20"/>
  <c r="L22" i="20" s="1"/>
  <c r="M22" i="20" s="1"/>
  <c r="N22" i="20" s="1"/>
  <c r="O22" i="20" s="1"/>
  <c r="K23" i="20"/>
  <c r="L23" i="20" s="1"/>
  <c r="M23" i="20" s="1"/>
  <c r="N23" i="20" s="1"/>
  <c r="O23" i="20" s="1"/>
  <c r="K38" i="12"/>
  <c r="K39" i="12"/>
  <c r="P28" i="12"/>
  <c r="P5" i="12"/>
  <c r="P7" i="12"/>
  <c r="P8" i="12"/>
  <c r="P26" i="12"/>
  <c r="P10" i="12"/>
  <c r="P27" i="12"/>
  <c r="P9" i="12"/>
  <c r="P6" i="12"/>
  <c r="K40" i="12"/>
  <c r="H31" i="12"/>
  <c r="H30" i="12"/>
  <c r="K30" i="12" s="1"/>
  <c r="L21" i="21" l="1"/>
  <c r="M21" i="21" s="1"/>
  <c r="N21" i="21" s="1"/>
  <c r="O21" i="21" s="1"/>
  <c r="O24" i="21" s="1"/>
  <c r="D26" i="21" a="1"/>
  <c r="L21" i="20"/>
  <c r="M21" i="20" s="1"/>
  <c r="N21" i="20" s="1"/>
  <c r="O21" i="20" s="1"/>
  <c r="O24" i="20" s="1"/>
  <c r="D26" i="20" a="1"/>
  <c r="K31" i="12"/>
  <c r="Q28" i="12"/>
  <c r="Q27" i="12"/>
  <c r="Q26" i="12"/>
  <c r="Q6" i="12"/>
  <c r="Q9" i="12"/>
  <c r="Q7" i="12"/>
  <c r="Q5" i="12"/>
  <c r="Q10" i="12"/>
  <c r="Q8" i="12"/>
  <c r="AC7" i="1"/>
  <c r="Y7" i="1"/>
  <c r="AC6" i="1"/>
  <c r="Y6" i="1"/>
  <c r="G26" i="21" l="1"/>
  <c r="B32" i="21" s="1"/>
  <c r="F26" i="21"/>
  <c r="B33" i="21" s="1"/>
  <c r="E26" i="21"/>
  <c r="B34" i="21" s="1"/>
  <c r="D26" i="21"/>
  <c r="B35" i="21" s="1"/>
  <c r="G26" i="20"/>
  <c r="B32" i="20" s="1"/>
  <c r="F26" i="20"/>
  <c r="B33" i="20" s="1"/>
  <c r="E26" i="20"/>
  <c r="B34" i="20" s="1"/>
  <c r="D26" i="20"/>
  <c r="B35" i="20" s="1"/>
  <c r="O96" i="10"/>
  <c r="V72" i="10"/>
  <c r="Z50" i="10"/>
  <c r="Z49" i="10"/>
  <c r="U49" i="10"/>
  <c r="Q49" i="10"/>
  <c r="T49" i="10" s="1"/>
  <c r="V49" i="10" s="1"/>
  <c r="P49" i="10"/>
  <c r="I49" i="10"/>
  <c r="J49" i="10" s="1"/>
  <c r="Z48" i="10"/>
  <c r="U48" i="10"/>
  <c r="Q48" i="10"/>
  <c r="P48" i="10"/>
  <c r="T48" i="10" s="1"/>
  <c r="V48" i="10" s="1"/>
  <c r="I48" i="10"/>
  <c r="J48" i="10" s="1"/>
  <c r="Z47" i="10"/>
  <c r="U47" i="10"/>
  <c r="Q47" i="10"/>
  <c r="P47" i="10"/>
  <c r="T47" i="10" s="1"/>
  <c r="V47" i="10" s="1"/>
  <c r="I47" i="10"/>
  <c r="J47" i="10" s="1"/>
  <c r="Z46" i="10"/>
  <c r="U46" i="10"/>
  <c r="Q46" i="10"/>
  <c r="P46" i="10"/>
  <c r="T46" i="10" s="1"/>
  <c r="V46" i="10" s="1"/>
  <c r="V50" i="10" s="1"/>
  <c r="I46" i="10"/>
  <c r="J46" i="10" s="1"/>
  <c r="AO44" i="10"/>
  <c r="AC44" i="10"/>
  <c r="AA44" i="10"/>
  <c r="Z44" i="10"/>
  <c r="K44" i="10"/>
  <c r="AP44" i="10" s="1"/>
  <c r="Z43" i="10"/>
  <c r="U43" i="10"/>
  <c r="Q43" i="10"/>
  <c r="P43" i="10"/>
  <c r="T43" i="10" s="1"/>
  <c r="V43" i="10" s="1"/>
  <c r="Z42" i="10"/>
  <c r="U42" i="10"/>
  <c r="Q42" i="10"/>
  <c r="P42" i="10"/>
  <c r="T42" i="10" s="1"/>
  <c r="V42" i="10" s="1"/>
  <c r="Z41" i="10"/>
  <c r="U41" i="10"/>
  <c r="Q41" i="10"/>
  <c r="P41" i="10"/>
  <c r="T41" i="10" s="1"/>
  <c r="V41" i="10" s="1"/>
  <c r="Z40" i="10"/>
  <c r="U40" i="10"/>
  <c r="Q40" i="10"/>
  <c r="T40" i="10" s="1"/>
  <c r="V40" i="10" s="1"/>
  <c r="P40" i="10"/>
  <c r="AA34" i="10"/>
  <c r="Z34" i="10"/>
  <c r="U34" i="10"/>
  <c r="J34" i="10"/>
  <c r="AN33" i="10"/>
  <c r="AM33" i="10"/>
  <c r="AL33" i="10"/>
  <c r="AK33" i="10"/>
  <c r="AJ33" i="10"/>
  <c r="AA33" i="10"/>
  <c r="Z33" i="10"/>
  <c r="Y33" i="10"/>
  <c r="R33" i="10"/>
  <c r="Q33" i="10"/>
  <c r="U33" i="10" s="1"/>
  <c r="V33" i="10" s="1"/>
  <c r="P33" i="10"/>
  <c r="J33" i="10"/>
  <c r="I33" i="10"/>
  <c r="AA32" i="10"/>
  <c r="Z32" i="10"/>
  <c r="U32" i="10"/>
  <c r="J32" i="10"/>
  <c r="AA31" i="10"/>
  <c r="Z31" i="10"/>
  <c r="Y31" i="10"/>
  <c r="R31" i="10"/>
  <c r="U31" i="10" s="1"/>
  <c r="V31" i="10" s="1"/>
  <c r="P31" i="10"/>
  <c r="AK31" i="10" s="1"/>
  <c r="I31" i="10"/>
  <c r="J31" i="10" s="1"/>
  <c r="Q31" i="10" s="1"/>
  <c r="AA30" i="10"/>
  <c r="Z30" i="10"/>
  <c r="X30" i="10"/>
  <c r="R30" i="10"/>
  <c r="P30" i="10"/>
  <c r="J30" i="10"/>
  <c r="Q30" i="10" s="1"/>
  <c r="U30" i="10" s="1"/>
  <c r="V30" i="10" s="1"/>
  <c r="I30" i="10"/>
  <c r="AA29" i="10"/>
  <c r="Z29" i="10"/>
  <c r="X29" i="10"/>
  <c r="R29" i="10"/>
  <c r="P29" i="10"/>
  <c r="I29" i="10"/>
  <c r="J29" i="10" s="1"/>
  <c r="Q29" i="10" s="1"/>
  <c r="U29" i="10" s="1"/>
  <c r="V29" i="10" s="1"/>
  <c r="AA28" i="10"/>
  <c r="Y28" i="10"/>
  <c r="Z28" i="10" s="1"/>
  <c r="U28" i="10"/>
  <c r="V28" i="10" s="1"/>
  <c r="R28" i="10"/>
  <c r="Q28" i="10"/>
  <c r="P28" i="10"/>
  <c r="AK28" i="10" s="1"/>
  <c r="I28" i="10"/>
  <c r="J28" i="10" s="1"/>
  <c r="AR27" i="10"/>
  <c r="AD27" i="10"/>
  <c r="AA27" i="10"/>
  <c r="Z27" i="10"/>
  <c r="R27" i="10"/>
  <c r="P27" i="10"/>
  <c r="AQ27" i="10" s="1"/>
  <c r="J27" i="10"/>
  <c r="Q27" i="10" s="1"/>
  <c r="U27" i="10" s="1"/>
  <c r="V27" i="10" s="1"/>
  <c r="I27" i="10"/>
  <c r="AA26" i="10"/>
  <c r="Y26" i="10"/>
  <c r="Z26" i="10" s="1"/>
  <c r="R26" i="10"/>
  <c r="P26" i="10"/>
  <c r="AO26" i="10" s="1"/>
  <c r="I26" i="10"/>
  <c r="J26" i="10" s="1"/>
  <c r="Q26" i="10" s="1"/>
  <c r="U26" i="10" s="1"/>
  <c r="V26" i="10" s="1"/>
  <c r="AQ25" i="10"/>
  <c r="AP25" i="10"/>
  <c r="AO25" i="10"/>
  <c r="AJ25" i="10"/>
  <c r="AA25" i="10"/>
  <c r="Z25" i="10"/>
  <c r="R25" i="10"/>
  <c r="U25" i="10" s="1"/>
  <c r="V25" i="10" s="1"/>
  <c r="P25" i="10"/>
  <c r="AY25" i="10" s="1"/>
  <c r="I25" i="10"/>
  <c r="J25" i="10" s="1"/>
  <c r="Q25" i="10" s="1"/>
  <c r="AW24" i="10"/>
  <c r="AU24" i="10"/>
  <c r="AT24" i="10"/>
  <c r="AP24" i="10"/>
  <c r="AG24" i="10"/>
  <c r="AE24" i="10"/>
  <c r="AD24" i="10"/>
  <c r="AA24" i="10"/>
  <c r="Z24" i="10"/>
  <c r="R24" i="10"/>
  <c r="P24" i="10"/>
  <c r="AF24" i="10" s="1"/>
  <c r="I24" i="10"/>
  <c r="J24" i="10" s="1"/>
  <c r="Q24" i="10" s="1"/>
  <c r="U24" i="10" s="1"/>
  <c r="V24" i="10" s="1"/>
  <c r="AX23" i="10"/>
  <c r="AV23" i="10"/>
  <c r="AT23" i="10"/>
  <c r="AQ23" i="10"/>
  <c r="AP23" i="10"/>
  <c r="AO23" i="10"/>
  <c r="AN23" i="10"/>
  <c r="AL23" i="10"/>
  <c r="AJ23" i="10"/>
  <c r="AH23" i="10"/>
  <c r="AE23" i="10"/>
  <c r="AD23" i="10"/>
  <c r="AC23" i="10"/>
  <c r="AA23" i="10"/>
  <c r="Z23" i="10"/>
  <c r="R23" i="10"/>
  <c r="P23" i="10"/>
  <c r="AY23" i="10" s="1"/>
  <c r="I23" i="10"/>
  <c r="J23" i="10" s="1"/>
  <c r="Q23" i="10" s="1"/>
  <c r="U23" i="10" s="1"/>
  <c r="V23" i="10" s="1"/>
  <c r="AY22" i="10"/>
  <c r="AX22" i="10"/>
  <c r="AW22" i="10"/>
  <c r="AS22" i="10"/>
  <c r="AJ22" i="10"/>
  <c r="AI22" i="10"/>
  <c r="AH22" i="10"/>
  <c r="AG22" i="10"/>
  <c r="AC22" i="10"/>
  <c r="AA22" i="10"/>
  <c r="Z22" i="10"/>
  <c r="R22" i="10"/>
  <c r="U22" i="10" s="1"/>
  <c r="V22" i="10" s="1"/>
  <c r="Q22" i="10"/>
  <c r="P22" i="10"/>
  <c r="AV22" i="10" s="1"/>
  <c r="J22" i="10"/>
  <c r="I22" i="10"/>
  <c r="AA21" i="10"/>
  <c r="Y21" i="10"/>
  <c r="Z21" i="10" s="1"/>
  <c r="R21" i="10"/>
  <c r="P21" i="10"/>
  <c r="AM21" i="10" s="1"/>
  <c r="J21" i="10"/>
  <c r="I21" i="10"/>
  <c r="AA20" i="10"/>
  <c r="Z20" i="10"/>
  <c r="Y20" i="10"/>
  <c r="R20" i="10"/>
  <c r="P20" i="10"/>
  <c r="AL20" i="10" s="1"/>
  <c r="I20" i="10"/>
  <c r="J20" i="10" s="1"/>
  <c r="Q20" i="10" s="1"/>
  <c r="AY19" i="10"/>
  <c r="AT19" i="10"/>
  <c r="AS19" i="10"/>
  <c r="AR19" i="10"/>
  <c r="AP19" i="10"/>
  <c r="AO19" i="10"/>
  <c r="AK19" i="10"/>
  <c r="AD19" i="10"/>
  <c r="AC19" i="10"/>
  <c r="AB19" i="10"/>
  <c r="AA19" i="10"/>
  <c r="Z19" i="10"/>
  <c r="R19" i="10"/>
  <c r="P19" i="10"/>
  <c r="AN19" i="10" s="1"/>
  <c r="I19" i="10"/>
  <c r="J19" i="10" s="1"/>
  <c r="Q19" i="10" s="1"/>
  <c r="U19" i="10" s="1"/>
  <c r="V19" i="10" s="1"/>
  <c r="AL18" i="10"/>
  <c r="AK18" i="10"/>
  <c r="AA18" i="10"/>
  <c r="Z18" i="10"/>
  <c r="Y18" i="10"/>
  <c r="R18" i="10"/>
  <c r="Q18" i="10"/>
  <c r="P18" i="10"/>
  <c r="J18" i="10"/>
  <c r="I18" i="10"/>
  <c r="AK17" i="10"/>
  <c r="AA17" i="10"/>
  <c r="Y17" i="10"/>
  <c r="Z17" i="10" s="1"/>
  <c r="R17" i="10"/>
  <c r="P17" i="10"/>
  <c r="AL17" i="10" s="1"/>
  <c r="I17" i="10"/>
  <c r="J17" i="10" s="1"/>
  <c r="Q17" i="10" s="1"/>
  <c r="AL16" i="10"/>
  <c r="AK16" i="10"/>
  <c r="AA16" i="10"/>
  <c r="Y16" i="10"/>
  <c r="Z16" i="10" s="1"/>
  <c r="R16" i="10"/>
  <c r="P16" i="10"/>
  <c r="I16" i="10"/>
  <c r="J16" i="10" s="1"/>
  <c r="Q16" i="10" s="1"/>
  <c r="U16" i="10" s="1"/>
  <c r="V16" i="10" s="1"/>
  <c r="AL15" i="10"/>
  <c r="AK15" i="10"/>
  <c r="AA15" i="10"/>
  <c r="Z15" i="10"/>
  <c r="Y15" i="10"/>
  <c r="R15" i="10"/>
  <c r="P15" i="10"/>
  <c r="I15" i="10"/>
  <c r="J15" i="10" s="1"/>
  <c r="Q15" i="10" s="1"/>
  <c r="AA14" i="10"/>
  <c r="Y14" i="10"/>
  <c r="Z14" i="10" s="1"/>
  <c r="R14" i="10"/>
  <c r="P14" i="10"/>
  <c r="J14" i="10"/>
  <c r="Q14" i="10" s="1"/>
  <c r="I14" i="10"/>
  <c r="AK13" i="10"/>
  <c r="AA13" i="10"/>
  <c r="Y13" i="10"/>
  <c r="Z13" i="10" s="1"/>
  <c r="U13" i="10"/>
  <c r="V13" i="10" s="1"/>
  <c r="R13" i="10"/>
  <c r="P13" i="10"/>
  <c r="AL13" i="10" s="1"/>
  <c r="J13" i="10"/>
  <c r="Q13" i="10" s="1"/>
  <c r="I13" i="10"/>
  <c r="AA12" i="10"/>
  <c r="Z12" i="10"/>
  <c r="X12" i="10"/>
  <c r="R12" i="10"/>
  <c r="U12" i="10" s="1"/>
  <c r="V12" i="10" s="1"/>
  <c r="Q12" i="10"/>
  <c r="P12" i="10"/>
  <c r="J12" i="10"/>
  <c r="I12" i="10"/>
  <c r="AA11" i="10"/>
  <c r="Z11" i="10"/>
  <c r="X11" i="10"/>
  <c r="R11" i="10"/>
  <c r="P11" i="10"/>
  <c r="J11" i="10"/>
  <c r="Q11" i="10" s="1"/>
  <c r="I11" i="10"/>
  <c r="AN10" i="10"/>
  <c r="AM10" i="10"/>
  <c r="AK10" i="10"/>
  <c r="AI10" i="10"/>
  <c r="AA10" i="10"/>
  <c r="Z10" i="10"/>
  <c r="Y10" i="10"/>
  <c r="R10" i="10"/>
  <c r="U10" i="10" s="1"/>
  <c r="V10" i="10" s="1"/>
  <c r="P10" i="10"/>
  <c r="AM49" i="10" s="1"/>
  <c r="J10" i="10"/>
  <c r="Q10" i="10" s="1"/>
  <c r="I10" i="10"/>
  <c r="AM9" i="10"/>
  <c r="AL9" i="10"/>
  <c r="AK9" i="10"/>
  <c r="AA9" i="10"/>
  <c r="Z9" i="10"/>
  <c r="Y9" i="10"/>
  <c r="R9" i="10"/>
  <c r="P9" i="10"/>
  <c r="AJ9" i="10" s="1"/>
  <c r="I9" i="10"/>
  <c r="J9" i="10" s="1"/>
  <c r="Q9" i="10" s="1"/>
  <c r="AI8" i="10"/>
  <c r="AA8" i="10"/>
  <c r="Z8" i="10"/>
  <c r="Y8" i="10"/>
  <c r="R8" i="10"/>
  <c r="Q8" i="10"/>
  <c r="P8" i="10"/>
  <c r="AM8" i="10" s="1"/>
  <c r="J8" i="10"/>
  <c r="I8" i="10"/>
  <c r="AL7" i="10"/>
  <c r="AA7" i="10"/>
  <c r="Z7" i="10"/>
  <c r="Y7" i="10"/>
  <c r="R7" i="10"/>
  <c r="Q7" i="10"/>
  <c r="P7" i="10"/>
  <c r="AK46" i="10" s="1"/>
  <c r="I7" i="10"/>
  <c r="J7" i="10" s="1"/>
  <c r="AA6" i="10"/>
  <c r="Z6" i="10"/>
  <c r="AA5" i="10"/>
  <c r="Z5" i="10"/>
  <c r="Y5" i="10"/>
  <c r="R5" i="10"/>
  <c r="P5" i="10"/>
  <c r="AP5" i="10" s="1"/>
  <c r="I5" i="10"/>
  <c r="J5" i="10" s="1"/>
  <c r="AP4" i="10"/>
  <c r="AN4" i="10"/>
  <c r="AK4" i="10"/>
  <c r="AI4" i="10"/>
  <c r="AA4" i="10"/>
  <c r="Y4" i="10"/>
  <c r="Z4" i="10" s="1"/>
  <c r="U4" i="10"/>
  <c r="V4" i="10" s="1"/>
  <c r="R4" i="10"/>
  <c r="P4" i="10"/>
  <c r="AM4" i="10" s="1"/>
  <c r="J4" i="10"/>
  <c r="Q4" i="10" s="1"/>
  <c r="I4" i="10"/>
  <c r="AM3" i="10"/>
  <c r="AA3" i="10"/>
  <c r="Z3" i="10"/>
  <c r="Y3" i="10"/>
  <c r="R3" i="10"/>
  <c r="P3" i="10"/>
  <c r="J3" i="10"/>
  <c r="I3" i="10"/>
  <c r="B17" i="9"/>
  <c r="B15" i="9"/>
  <c r="O132" i="8"/>
  <c r="U75" i="8" s="1"/>
  <c r="V108" i="8"/>
  <c r="AA76" i="8"/>
  <c r="AA75" i="8"/>
  <c r="Q75" i="8"/>
  <c r="P75" i="8"/>
  <c r="I75" i="8"/>
  <c r="J75" i="8" s="1"/>
  <c r="AA74" i="8"/>
  <c r="Q74" i="8"/>
  <c r="P74" i="8"/>
  <c r="I74" i="8"/>
  <c r="J74" i="8" s="1"/>
  <c r="AA73" i="8"/>
  <c r="Q73" i="8"/>
  <c r="P73" i="8"/>
  <c r="I73" i="8"/>
  <c r="J73" i="8" s="1"/>
  <c r="AA72" i="8"/>
  <c r="Q72" i="8"/>
  <c r="P72" i="8"/>
  <c r="I72" i="8"/>
  <c r="J72" i="8" s="1"/>
  <c r="AA70" i="8"/>
  <c r="K70" i="8"/>
  <c r="AY70" i="8" s="1"/>
  <c r="F53" i="9" s="1"/>
  <c r="AA69" i="8"/>
  <c r="Q69" i="8"/>
  <c r="P69" i="8"/>
  <c r="AA68" i="8"/>
  <c r="Q68" i="8"/>
  <c r="P68" i="8"/>
  <c r="AA67" i="8"/>
  <c r="Q67" i="8"/>
  <c r="P67" i="8"/>
  <c r="AA66" i="8"/>
  <c r="Q66" i="8"/>
  <c r="P66" i="8"/>
  <c r="AA60" i="8"/>
  <c r="Z60" i="8"/>
  <c r="U60" i="8"/>
  <c r="J60" i="8"/>
  <c r="AA59" i="8"/>
  <c r="Z59" i="8"/>
  <c r="U59" i="8"/>
  <c r="J59" i="8"/>
  <c r="AA58" i="8"/>
  <c r="Z58" i="8"/>
  <c r="U58" i="8"/>
  <c r="J58" i="8"/>
  <c r="AA57" i="8"/>
  <c r="Z57" i="8"/>
  <c r="U57" i="8"/>
  <c r="J57" i="8"/>
  <c r="AA56" i="8"/>
  <c r="R56" i="8"/>
  <c r="P56" i="8"/>
  <c r="AM56" i="8" s="1"/>
  <c r="I56" i="8"/>
  <c r="J56" i="8" s="1"/>
  <c r="AA55" i="8"/>
  <c r="R55" i="8"/>
  <c r="P55" i="8"/>
  <c r="I55" i="8"/>
  <c r="J55" i="8" s="1"/>
  <c r="AA54" i="8"/>
  <c r="R54" i="8"/>
  <c r="P54" i="8"/>
  <c r="I54" i="8"/>
  <c r="J54" i="8" s="1"/>
  <c r="AA53" i="8"/>
  <c r="R53" i="8"/>
  <c r="P53" i="8"/>
  <c r="I53" i="8"/>
  <c r="J53" i="8" s="1"/>
  <c r="AA52" i="8"/>
  <c r="Z52" i="8"/>
  <c r="U52" i="8"/>
  <c r="J52" i="8"/>
  <c r="AA51" i="8"/>
  <c r="Z51" i="8"/>
  <c r="U51" i="8"/>
  <c r="J51" i="8"/>
  <c r="AA50" i="8"/>
  <c r="Z50" i="8"/>
  <c r="U50" i="8"/>
  <c r="J50" i="8"/>
  <c r="AA49" i="8"/>
  <c r="R49" i="8"/>
  <c r="P49" i="8"/>
  <c r="AJ49" i="8" s="1"/>
  <c r="I49" i="8"/>
  <c r="J49" i="8" s="1"/>
  <c r="AA48" i="8"/>
  <c r="R48" i="8"/>
  <c r="P48" i="8"/>
  <c r="AJ48" i="8" s="1"/>
  <c r="I48" i="8"/>
  <c r="J48" i="8" s="1"/>
  <c r="AA47" i="8"/>
  <c r="R47" i="8"/>
  <c r="P47" i="8"/>
  <c r="AJ47" i="8" s="1"/>
  <c r="I47" i="8"/>
  <c r="J47" i="8" s="1"/>
  <c r="AA46" i="8"/>
  <c r="Z46" i="8"/>
  <c r="X46" i="8"/>
  <c r="R46" i="8"/>
  <c r="P46" i="8"/>
  <c r="I46" i="8"/>
  <c r="J46" i="8" s="1"/>
  <c r="AA45" i="8"/>
  <c r="Z45" i="8"/>
  <c r="X45" i="8"/>
  <c r="R45" i="8"/>
  <c r="P45" i="8"/>
  <c r="I45" i="8"/>
  <c r="J45" i="8" s="1"/>
  <c r="AA44" i="8"/>
  <c r="Z44" i="8"/>
  <c r="X44" i="8"/>
  <c r="R44" i="8"/>
  <c r="P44" i="8"/>
  <c r="I44" i="8"/>
  <c r="J44" i="8" s="1"/>
  <c r="AA43" i="8"/>
  <c r="Z43" i="8"/>
  <c r="X43" i="8"/>
  <c r="R43" i="8"/>
  <c r="P43" i="8"/>
  <c r="I43" i="8"/>
  <c r="J43" i="8" s="1"/>
  <c r="AA42" i="8"/>
  <c r="Z42" i="8"/>
  <c r="X42" i="8"/>
  <c r="R42" i="8"/>
  <c r="P42" i="8"/>
  <c r="I42" i="8"/>
  <c r="J42" i="8" s="1"/>
  <c r="AA41" i="8"/>
  <c r="Z41" i="8"/>
  <c r="X41" i="8"/>
  <c r="R41" i="8"/>
  <c r="P41" i="8"/>
  <c r="I41" i="8"/>
  <c r="J41" i="8" s="1"/>
  <c r="AA40" i="8"/>
  <c r="Z40" i="8"/>
  <c r="X40" i="8"/>
  <c r="R40" i="8"/>
  <c r="P40" i="8"/>
  <c r="I40" i="8"/>
  <c r="J40" i="8" s="1"/>
  <c r="AA39" i="8"/>
  <c r="Z39" i="8"/>
  <c r="X39" i="8"/>
  <c r="R39" i="8"/>
  <c r="P39" i="8"/>
  <c r="I39" i="8"/>
  <c r="J39" i="8" s="1"/>
  <c r="AA38" i="8"/>
  <c r="R38" i="8"/>
  <c r="P38" i="8"/>
  <c r="I38" i="8"/>
  <c r="J38" i="8" s="1"/>
  <c r="AA37" i="8"/>
  <c r="R37" i="8"/>
  <c r="P37" i="8"/>
  <c r="I37" i="8"/>
  <c r="J37" i="8" s="1"/>
  <c r="AA36" i="8"/>
  <c r="R36" i="8"/>
  <c r="P36" i="8"/>
  <c r="I36" i="8"/>
  <c r="J36" i="8" s="1"/>
  <c r="AA35" i="8"/>
  <c r="R35" i="8"/>
  <c r="P35" i="8"/>
  <c r="AL36" i="8" s="1"/>
  <c r="I35" i="8"/>
  <c r="J35" i="8" s="1"/>
  <c r="AA34" i="8"/>
  <c r="Z34" i="8"/>
  <c r="R34" i="8"/>
  <c r="P34" i="8"/>
  <c r="AY34" i="8" s="1"/>
  <c r="I34" i="8"/>
  <c r="J34" i="8" s="1"/>
  <c r="AA33" i="8"/>
  <c r="R33" i="8"/>
  <c r="P33" i="8"/>
  <c r="AO33" i="8" s="1"/>
  <c r="I33" i="8"/>
  <c r="J33" i="8" s="1"/>
  <c r="AA80" i="8"/>
  <c r="I80" i="8"/>
  <c r="J80" i="8" s="1"/>
  <c r="AA86" i="8"/>
  <c r="I86" i="8"/>
  <c r="J86" i="8" s="1"/>
  <c r="AA85" i="8"/>
  <c r="I85" i="8"/>
  <c r="J85" i="8" s="1"/>
  <c r="J98" i="8" s="1"/>
  <c r="AA84" i="8"/>
  <c r="I84" i="8"/>
  <c r="J84" i="8" s="1"/>
  <c r="J91" i="8" s="1"/>
  <c r="J92" i="8" s="1"/>
  <c r="AA83" i="8"/>
  <c r="I83" i="8"/>
  <c r="J83" i="8" s="1"/>
  <c r="AA82" i="8"/>
  <c r="I82" i="8"/>
  <c r="J82" i="8" s="1"/>
  <c r="J97" i="8" s="1"/>
  <c r="AA81" i="8"/>
  <c r="I81" i="8"/>
  <c r="J81" i="8" s="1"/>
  <c r="J95" i="8" s="1"/>
  <c r="J96" i="8" s="1"/>
  <c r="AA32" i="8"/>
  <c r="R32" i="8"/>
  <c r="P32" i="8"/>
  <c r="AK32" i="8" s="1"/>
  <c r="I32" i="8"/>
  <c r="J32" i="8" s="1"/>
  <c r="AA31" i="8"/>
  <c r="R31" i="8"/>
  <c r="P31" i="8"/>
  <c r="AL31" i="8" s="1"/>
  <c r="I31" i="8"/>
  <c r="J31" i="8" s="1"/>
  <c r="AA30" i="8"/>
  <c r="R30" i="8"/>
  <c r="P30" i="8"/>
  <c r="AK30" i="8" s="1"/>
  <c r="I30" i="8"/>
  <c r="J30" i="8" s="1"/>
  <c r="AA29" i="8"/>
  <c r="R29" i="8"/>
  <c r="P29" i="8"/>
  <c r="AL29" i="8" s="1"/>
  <c r="I29" i="8"/>
  <c r="J29" i="8" s="1"/>
  <c r="AA28" i="8"/>
  <c r="R28" i="8"/>
  <c r="P28" i="8"/>
  <c r="AL26" i="8" s="1"/>
  <c r="I28" i="8"/>
  <c r="J28" i="8" s="1"/>
  <c r="AA27" i="8"/>
  <c r="R27" i="8"/>
  <c r="P27" i="8"/>
  <c r="I27" i="8"/>
  <c r="J27" i="8" s="1"/>
  <c r="AA26" i="8"/>
  <c r="R26" i="8"/>
  <c r="P26" i="8"/>
  <c r="I26" i="8"/>
  <c r="J26" i="8" s="1"/>
  <c r="AA25" i="8"/>
  <c r="R25" i="8"/>
  <c r="P25" i="8"/>
  <c r="AK25" i="8" s="1"/>
  <c r="I25" i="8"/>
  <c r="J25" i="8" s="1"/>
  <c r="AA24" i="8"/>
  <c r="R24" i="8"/>
  <c r="P24" i="8"/>
  <c r="I24" i="8"/>
  <c r="J24" i="8" s="1"/>
  <c r="AA23" i="8"/>
  <c r="R23" i="8"/>
  <c r="P23" i="8"/>
  <c r="I23" i="8"/>
  <c r="J23" i="8" s="1"/>
  <c r="AA22" i="8"/>
  <c r="Y22" i="8"/>
  <c r="Z22" i="8" s="1"/>
  <c r="R22" i="8"/>
  <c r="P22" i="8"/>
  <c r="I22" i="8"/>
  <c r="J22" i="8" s="1"/>
  <c r="AA21" i="8"/>
  <c r="R21" i="8"/>
  <c r="P21" i="8"/>
  <c r="AI24" i="8" s="1"/>
  <c r="I21" i="8"/>
  <c r="J21" i="8" s="1"/>
  <c r="AA20" i="8"/>
  <c r="Z20" i="8"/>
  <c r="X20" i="8"/>
  <c r="R20" i="8"/>
  <c r="P20" i="8"/>
  <c r="I20" i="8"/>
  <c r="J20" i="8" s="1"/>
  <c r="AA19" i="8"/>
  <c r="Z19" i="8"/>
  <c r="X19" i="8"/>
  <c r="R19" i="8"/>
  <c r="P19" i="8"/>
  <c r="I19" i="8"/>
  <c r="J19" i="8" s="1"/>
  <c r="AA18" i="8"/>
  <c r="Z18" i="8"/>
  <c r="X18" i="8"/>
  <c r="R18" i="8"/>
  <c r="P18" i="8"/>
  <c r="I18" i="8"/>
  <c r="J18" i="8" s="1"/>
  <c r="AA17" i="8"/>
  <c r="Z17" i="8"/>
  <c r="X17" i="8"/>
  <c r="R17" i="8"/>
  <c r="P17" i="8"/>
  <c r="I17" i="8"/>
  <c r="J17" i="8" s="1"/>
  <c r="AA16" i="8"/>
  <c r="Z16" i="8"/>
  <c r="X16" i="8"/>
  <c r="R16" i="8"/>
  <c r="P16" i="8"/>
  <c r="I16" i="8"/>
  <c r="J16" i="8" s="1"/>
  <c r="AA15" i="8"/>
  <c r="Z15" i="8"/>
  <c r="X15" i="8"/>
  <c r="R15" i="8"/>
  <c r="P15" i="8"/>
  <c r="I15" i="8"/>
  <c r="J15" i="8" s="1"/>
  <c r="AA14" i="8"/>
  <c r="Z14" i="8"/>
  <c r="X14" i="8"/>
  <c r="R14" i="8"/>
  <c r="P14" i="8"/>
  <c r="I14" i="8"/>
  <c r="J14" i="8" s="1"/>
  <c r="AA13" i="8"/>
  <c r="Z13" i="8"/>
  <c r="X13" i="8"/>
  <c r="R13" i="8"/>
  <c r="P13" i="8"/>
  <c r="I13" i="8"/>
  <c r="J13" i="8" s="1"/>
  <c r="AA12" i="8"/>
  <c r="R12" i="8"/>
  <c r="P12" i="8"/>
  <c r="AL12" i="8" s="1"/>
  <c r="I12" i="8"/>
  <c r="J12" i="8" s="1"/>
  <c r="AA11" i="8"/>
  <c r="R11" i="8"/>
  <c r="P11" i="8"/>
  <c r="AI67" i="8" s="1"/>
  <c r="I11" i="8"/>
  <c r="J11" i="8" s="1"/>
  <c r="AA10" i="8"/>
  <c r="R10" i="8"/>
  <c r="P10" i="8"/>
  <c r="AI10" i="8" s="1"/>
  <c r="I10" i="8"/>
  <c r="J10" i="8" s="1"/>
  <c r="AA9" i="8"/>
  <c r="Y9" i="8"/>
  <c r="Z9" i="8" s="1"/>
  <c r="R9" i="8"/>
  <c r="P9" i="8"/>
  <c r="AK9" i="8" s="1"/>
  <c r="I9" i="8"/>
  <c r="J9" i="8" s="1"/>
  <c r="AA8" i="8"/>
  <c r="Z8" i="8"/>
  <c r="AA7" i="8"/>
  <c r="R7" i="8"/>
  <c r="P7" i="8"/>
  <c r="AN7" i="8" s="1"/>
  <c r="I7" i="8"/>
  <c r="AA6" i="8"/>
  <c r="R6" i="8"/>
  <c r="P6" i="8"/>
  <c r="AJ6" i="8" s="1"/>
  <c r="I6" i="8"/>
  <c r="J6" i="8" s="1"/>
  <c r="AA3" i="8"/>
  <c r="R3" i="8"/>
  <c r="P3" i="8"/>
  <c r="AJ3" i="8" s="1"/>
  <c r="I3" i="8"/>
  <c r="J3" i="8" s="1"/>
  <c r="R79" i="1"/>
  <c r="R72" i="1"/>
  <c r="R71" i="1"/>
  <c r="R70" i="1"/>
  <c r="R69" i="1"/>
  <c r="R68" i="1"/>
  <c r="Q54" i="1"/>
  <c r="U43" i="1"/>
  <c r="V42" i="1"/>
  <c r="U41" i="1"/>
  <c r="V40" i="1"/>
  <c r="U40" i="1"/>
  <c r="T40" i="1"/>
  <c r="BJ34" i="1"/>
  <c r="BH34" i="1"/>
  <c r="BH33" i="1"/>
  <c r="BH32" i="1"/>
  <c r="BH31" i="1"/>
  <c r="BZ28" i="1"/>
  <c r="BY28" i="1"/>
  <c r="BV28" i="1"/>
  <c r="BV30" i="1" s="1"/>
  <c r="BU28" i="1"/>
  <c r="BU30" i="1" s="1"/>
  <c r="AZ25" i="1"/>
  <c r="AW25" i="1"/>
  <c r="AK25" i="1"/>
  <c r="AH25" i="1"/>
  <c r="AZ24" i="1"/>
  <c r="AW24" i="1"/>
  <c r="AK24" i="1"/>
  <c r="AH24" i="1"/>
  <c r="BH19" i="1"/>
  <c r="BH18" i="1"/>
  <c r="BH17" i="1"/>
  <c r="BH16" i="1"/>
  <c r="CC15" i="1"/>
  <c r="CC14" i="1"/>
  <c r="CC12" i="1"/>
  <c r="E11" i="1"/>
  <c r="D11" i="1"/>
  <c r="AC5" i="1"/>
  <c r="AK26" i="1" s="1"/>
  <c r="Y5" i="1"/>
  <c r="AW26" i="1" s="1"/>
  <c r="AC4" i="1"/>
  <c r="AC9" i="1" s="1"/>
  <c r="Y4" i="1"/>
  <c r="AW19" i="1" s="1"/>
  <c r="BD19" i="1" s="1"/>
  <c r="BI2" i="1"/>
  <c r="BJ19" i="1" s="1"/>
  <c r="G23" i="6"/>
  <c r="E23" i="6"/>
  <c r="F23" i="6" s="1"/>
  <c r="D23" i="6"/>
  <c r="G22" i="6"/>
  <c r="E22" i="6"/>
  <c r="D22" i="6"/>
  <c r="G21" i="6"/>
  <c r="E21" i="6"/>
  <c r="D21" i="6"/>
  <c r="G20" i="6"/>
  <c r="E20" i="6"/>
  <c r="D20" i="6"/>
  <c r="L20" i="6" s="1"/>
  <c r="L14" i="6"/>
  <c r="L13" i="6"/>
  <c r="B7" i="6"/>
  <c r="B8" i="6" s="1"/>
  <c r="G17" i="5"/>
  <c r="F17" i="5"/>
  <c r="H17" i="5" s="1"/>
  <c r="E17" i="5"/>
  <c r="G16" i="5"/>
  <c r="E16" i="5"/>
  <c r="F16" i="5" s="1"/>
  <c r="H16" i="5" s="1"/>
  <c r="G15" i="5"/>
  <c r="H15" i="5" s="1"/>
  <c r="F15" i="5"/>
  <c r="E15" i="5"/>
  <c r="G14" i="5"/>
  <c r="F14" i="5"/>
  <c r="H14" i="5" s="1"/>
  <c r="E14" i="5"/>
  <c r="H44" i="3"/>
  <c r="K44" i="3" s="1"/>
  <c r="G44" i="3"/>
  <c r="J44" i="3" s="1"/>
  <c r="F44" i="3"/>
  <c r="I44" i="3" s="1"/>
  <c r="K43" i="3"/>
  <c r="H43" i="3"/>
  <c r="G43" i="3"/>
  <c r="J43" i="3" s="1"/>
  <c r="F43" i="3"/>
  <c r="I43" i="3" s="1"/>
  <c r="H42" i="3"/>
  <c r="K42" i="3" s="1"/>
  <c r="G42" i="3"/>
  <c r="J42" i="3" s="1"/>
  <c r="F42" i="3"/>
  <c r="I42" i="3" s="1"/>
  <c r="K41" i="3"/>
  <c r="H41" i="3"/>
  <c r="G41" i="3"/>
  <c r="J41" i="3" s="1"/>
  <c r="F41" i="3"/>
  <c r="I41" i="3" s="1"/>
  <c r="H40" i="3"/>
  <c r="K40" i="3" s="1"/>
  <c r="G40" i="3"/>
  <c r="J40" i="3" s="1"/>
  <c r="F40" i="3"/>
  <c r="I40" i="3" s="1"/>
  <c r="K39" i="3"/>
  <c r="H39" i="3"/>
  <c r="G39" i="3"/>
  <c r="J39" i="3" s="1"/>
  <c r="F39" i="3"/>
  <c r="I39" i="3" s="1"/>
  <c r="H38" i="3"/>
  <c r="K38" i="3" s="1"/>
  <c r="G38" i="3"/>
  <c r="J38" i="3" s="1"/>
  <c r="F38" i="3"/>
  <c r="I38" i="3" s="1"/>
  <c r="E29" i="3"/>
  <c r="D29" i="3"/>
  <c r="E28" i="3"/>
  <c r="D28" i="3"/>
  <c r="E27" i="3"/>
  <c r="D27" i="3"/>
  <c r="E26" i="3"/>
  <c r="D26" i="3"/>
  <c r="E25" i="3"/>
  <c r="D25" i="3"/>
  <c r="E24" i="3"/>
  <c r="D24" i="3"/>
  <c r="E23" i="3"/>
  <c r="D23" i="3"/>
  <c r="D14" i="3"/>
  <c r="E14" i="3" s="1"/>
  <c r="B14" i="3" s="1"/>
  <c r="D13" i="3"/>
  <c r="E13" i="3" s="1"/>
  <c r="B13" i="3" s="1"/>
  <c r="D12" i="3"/>
  <c r="E12" i="3" s="1"/>
  <c r="B12" i="3" s="1"/>
  <c r="D11" i="3"/>
  <c r="E11" i="3" s="1"/>
  <c r="B11" i="3" s="1"/>
  <c r="D10" i="3"/>
  <c r="E10" i="3" s="1"/>
  <c r="B10" i="3" s="1"/>
  <c r="D9" i="3"/>
  <c r="E9" i="3" s="1"/>
  <c r="B9" i="3" s="1"/>
  <c r="B5" i="3"/>
  <c r="B3" i="3"/>
  <c r="J87" i="8" l="1"/>
  <c r="B10" i="9" s="1"/>
  <c r="J99" i="8"/>
  <c r="AM54" i="8"/>
  <c r="T68" i="8"/>
  <c r="V68" i="8" s="1"/>
  <c r="Q36" i="8"/>
  <c r="U36" i="8" s="1"/>
  <c r="T75" i="8"/>
  <c r="V75" i="8" s="1"/>
  <c r="Q10" i="8"/>
  <c r="U10" i="8" s="1"/>
  <c r="Q15" i="8"/>
  <c r="U15" i="8" s="1"/>
  <c r="V15" i="8" s="1"/>
  <c r="Q17" i="8"/>
  <c r="U17" i="8" s="1"/>
  <c r="V17" i="8" s="1"/>
  <c r="Q19" i="8"/>
  <c r="U19" i="8" s="1"/>
  <c r="V19" i="8" s="1"/>
  <c r="Q21" i="8"/>
  <c r="U21" i="8" s="1"/>
  <c r="Q54" i="8"/>
  <c r="U54" i="8" s="1"/>
  <c r="Y27" i="8"/>
  <c r="Z27" i="8" s="1"/>
  <c r="Q27" i="8"/>
  <c r="U27" i="8" s="1"/>
  <c r="Q3" i="8"/>
  <c r="U3" i="8" s="1"/>
  <c r="AS34" i="8"/>
  <c r="Q55" i="8"/>
  <c r="U55" i="8" s="1"/>
  <c r="Q23" i="8"/>
  <c r="U23" i="8" s="1"/>
  <c r="Q42" i="8"/>
  <c r="U42" i="8" s="1"/>
  <c r="V42" i="8" s="1"/>
  <c r="Q44" i="8"/>
  <c r="U44" i="8" s="1"/>
  <c r="V44" i="8" s="1"/>
  <c r="Q46" i="8"/>
  <c r="U46" i="8" s="1"/>
  <c r="V46" i="8" s="1"/>
  <c r="Y3" i="8"/>
  <c r="Z3" i="8" s="1"/>
  <c r="Y7" i="8"/>
  <c r="Z7" i="8" s="1"/>
  <c r="Q31" i="8"/>
  <c r="U31" i="8" s="1"/>
  <c r="Y35" i="8"/>
  <c r="Z35" i="8" s="1"/>
  <c r="Q26" i="8"/>
  <c r="U26" i="8" s="1"/>
  <c r="Y28" i="8"/>
  <c r="Z28" i="8" s="1"/>
  <c r="AP7" i="8"/>
  <c r="Y21" i="8"/>
  <c r="Z21" i="8" s="1"/>
  <c r="Q24" i="8"/>
  <c r="U24" i="8" s="1"/>
  <c r="Y26" i="8"/>
  <c r="Z26" i="8" s="1"/>
  <c r="Q43" i="8"/>
  <c r="U43" i="8" s="1"/>
  <c r="V43" i="8" s="1"/>
  <c r="T72" i="8"/>
  <c r="V72" i="8" s="1"/>
  <c r="U73" i="8"/>
  <c r="Y10" i="8"/>
  <c r="Z10" i="8" s="1"/>
  <c r="AL7" i="8"/>
  <c r="Y6" i="8"/>
  <c r="Z6" i="8" s="1"/>
  <c r="Y11" i="8"/>
  <c r="Z11" i="8" s="1"/>
  <c r="Q14" i="8"/>
  <c r="U14" i="8" s="1"/>
  <c r="V14" i="8" s="1"/>
  <c r="Q16" i="8"/>
  <c r="Q20" i="8"/>
  <c r="U20" i="8" s="1"/>
  <c r="V20" i="8" s="1"/>
  <c r="Y24" i="8"/>
  <c r="Z24" i="8" s="1"/>
  <c r="Y32" i="8"/>
  <c r="Z32" i="8" s="1"/>
  <c r="AH34" i="8"/>
  <c r="Y53" i="8"/>
  <c r="Z53" i="8" s="1"/>
  <c r="Q9" i="8"/>
  <c r="U9" i="8" s="1"/>
  <c r="V9" i="8" s="1"/>
  <c r="Y23" i="8"/>
  <c r="Z23" i="8" s="1"/>
  <c r="Y30" i="8"/>
  <c r="Z30" i="8" s="1"/>
  <c r="AD34" i="8"/>
  <c r="Y36" i="8"/>
  <c r="Z36" i="8" s="1"/>
  <c r="AL56" i="8"/>
  <c r="U16" i="8"/>
  <c r="V16" i="8" s="1"/>
  <c r="Y31" i="8"/>
  <c r="Z31" i="8" s="1"/>
  <c r="Y33" i="8"/>
  <c r="Z33" i="8" s="1"/>
  <c r="Y37" i="8"/>
  <c r="Z37" i="8" s="1"/>
  <c r="AK55" i="8"/>
  <c r="AK7" i="8"/>
  <c r="Y12" i="8"/>
  <c r="Z12" i="8" s="1"/>
  <c r="Y29" i="8"/>
  <c r="Z29" i="8" s="1"/>
  <c r="Q32" i="8"/>
  <c r="U32" i="8" s="1"/>
  <c r="AI37" i="8"/>
  <c r="AL55" i="8"/>
  <c r="AR70" i="8"/>
  <c r="F46" i="9" s="1"/>
  <c r="Q38" i="8"/>
  <c r="U38" i="8" s="1"/>
  <c r="AJ53" i="8"/>
  <c r="Y25" i="8"/>
  <c r="Z25" i="8" s="1"/>
  <c r="Y38" i="8"/>
  <c r="Z38" i="8" s="1"/>
  <c r="Y48" i="8"/>
  <c r="Z48" i="8" s="1"/>
  <c r="Y55" i="8"/>
  <c r="Z55" i="8" s="1"/>
  <c r="AL3" i="8"/>
  <c r="AM3" i="8"/>
  <c r="Q56" i="8"/>
  <c r="U56" i="8" s="1"/>
  <c r="T66" i="8"/>
  <c r="V66" i="8" s="1"/>
  <c r="AL11" i="8"/>
  <c r="Q29" i="8"/>
  <c r="U29" i="8" s="1"/>
  <c r="Y49" i="8"/>
  <c r="Z49" i="8" s="1"/>
  <c r="Y54" i="8"/>
  <c r="Z54" i="8" s="1"/>
  <c r="AC70" i="8"/>
  <c r="F31" i="9" s="1"/>
  <c r="Y47" i="8"/>
  <c r="Z47" i="8" s="1"/>
  <c r="Q53" i="8"/>
  <c r="U53" i="8" s="1"/>
  <c r="AJ54" i="8"/>
  <c r="Y56" i="8"/>
  <c r="Z56" i="8" s="1"/>
  <c r="T67" i="8"/>
  <c r="V67" i="8" s="1"/>
  <c r="AK23" i="8"/>
  <c r="AI35" i="8"/>
  <c r="AI38" i="8"/>
  <c r="AK48" i="8"/>
  <c r="AN54" i="8"/>
  <c r="AL23" i="8"/>
  <c r="AN34" i="8"/>
  <c r="AJ35" i="8"/>
  <c r="AL38" i="8"/>
  <c r="AL48" i="8"/>
  <c r="AK34" i="8"/>
  <c r="AM7" i="8"/>
  <c r="AM11" i="8"/>
  <c r="AO7" i="8"/>
  <c r="Q12" i="8"/>
  <c r="U12" i="8" s="1"/>
  <c r="AL30" i="8"/>
  <c r="AP34" i="8"/>
  <c r="Q49" i="8"/>
  <c r="U49" i="8" s="1"/>
  <c r="AI6" i="8"/>
  <c r="AL22" i="8"/>
  <c r="AM6" i="8"/>
  <c r="AL32" i="8"/>
  <c r="Q34" i="8"/>
  <c r="U34" i="8" s="1"/>
  <c r="V34" i="8" s="1"/>
  <c r="AT34" i="8"/>
  <c r="AJ37" i="8"/>
  <c r="Q41" i="8"/>
  <c r="U41" i="8" s="1"/>
  <c r="V41" i="8" s="1"/>
  <c r="AK47" i="8"/>
  <c r="AM53" i="8"/>
  <c r="AN56" i="8"/>
  <c r="AK27" i="8"/>
  <c r="AW34" i="8"/>
  <c r="AL47" i="8"/>
  <c r="Q11" i="8"/>
  <c r="U11" i="8" s="1"/>
  <c r="AL27" i="8"/>
  <c r="Q48" i="8"/>
  <c r="U48" i="8" s="1"/>
  <c r="AJ55" i="8"/>
  <c r="U68" i="8"/>
  <c r="T74" i="8"/>
  <c r="V74" i="8" s="1"/>
  <c r="Q7" i="8"/>
  <c r="U7" i="8" s="1"/>
  <c r="AK49" i="8"/>
  <c r="AI12" i="8"/>
  <c r="AL21" i="8"/>
  <c r="AK29" i="8"/>
  <c r="Q22" i="8"/>
  <c r="U22" i="8" s="1"/>
  <c r="V22" i="8" s="1"/>
  <c r="AJ24" i="8"/>
  <c r="Q30" i="8"/>
  <c r="U30" i="8" s="1"/>
  <c r="AB34" i="8"/>
  <c r="AI36" i="8"/>
  <c r="T69" i="8"/>
  <c r="V69" i="8" s="1"/>
  <c r="Q6" i="8"/>
  <c r="U6" i="8" s="1"/>
  <c r="AK24" i="8"/>
  <c r="Q33" i="8"/>
  <c r="U33" i="8" s="1"/>
  <c r="Q37" i="8"/>
  <c r="U37" i="8" s="1"/>
  <c r="Q40" i="8"/>
  <c r="U40" i="8" s="1"/>
  <c r="V40" i="8" s="1"/>
  <c r="Q47" i="8"/>
  <c r="U47" i="8" s="1"/>
  <c r="Q13" i="8"/>
  <c r="U13" i="8" s="1"/>
  <c r="V13" i="8" s="1"/>
  <c r="F20" i="6"/>
  <c r="H23" i="6"/>
  <c r="I23" i="6" s="1"/>
  <c r="J23" i="6" s="1"/>
  <c r="H20" i="6"/>
  <c r="I20" i="6" s="1"/>
  <c r="J20" i="6" s="1"/>
  <c r="M20" i="6"/>
  <c r="N20" i="6" s="1"/>
  <c r="O20" i="6" s="1"/>
  <c r="Q55" i="1"/>
  <c r="AZ18" i="1"/>
  <c r="BE18" i="1" s="1"/>
  <c r="BJ16" i="1"/>
  <c r="P46" i="1"/>
  <c r="BJ31" i="1"/>
  <c r="BJ32" i="1"/>
  <c r="BJ33" i="1"/>
  <c r="AZ26" i="1"/>
  <c r="AK17" i="1"/>
  <c r="BM32" i="1" s="1"/>
  <c r="AZ19" i="1"/>
  <c r="BE19" i="1" s="1"/>
  <c r="BM19" i="1" s="1"/>
  <c r="AZ17" i="1"/>
  <c r="BE17" i="1" s="1"/>
  <c r="AH17" i="1"/>
  <c r="BL32" i="1" s="1"/>
  <c r="BN32" i="1" s="1"/>
  <c r="BO32" i="1" s="1"/>
  <c r="AH18" i="1"/>
  <c r="AK18" i="1"/>
  <c r="BM33" i="1" s="1"/>
  <c r="AK19" i="1"/>
  <c r="BM34" i="1" s="1"/>
  <c r="AZ16" i="1"/>
  <c r="AH19" i="1"/>
  <c r="BL34" i="1" s="1"/>
  <c r="Y10" i="1"/>
  <c r="AH23" i="1" s="1"/>
  <c r="Q56" i="1"/>
  <c r="BL19" i="1"/>
  <c r="AP6" i="8"/>
  <c r="AK31" i="8"/>
  <c r="AF34" i="8"/>
  <c r="AX34" i="8"/>
  <c r="AL35" i="8"/>
  <c r="AK36" i="8"/>
  <c r="AK37" i="8"/>
  <c r="AL68" i="8"/>
  <c r="F21" i="6"/>
  <c r="H21" i="6" s="1"/>
  <c r="I21" i="6" s="1"/>
  <c r="J21" i="6" s="1"/>
  <c r="Y8" i="1"/>
  <c r="BJ17" i="1"/>
  <c r="BJ18" i="1"/>
  <c r="AH26" i="1"/>
  <c r="Q18" i="8"/>
  <c r="U18" i="8" s="1"/>
  <c r="V18" i="8" s="1"/>
  <c r="AG34" i="8"/>
  <c r="Q39" i="8"/>
  <c r="U39" i="8" s="1"/>
  <c r="V39" i="8" s="1"/>
  <c r="AC8" i="1"/>
  <c r="AJ10" i="8"/>
  <c r="Q35" i="8"/>
  <c r="U35" i="8" s="1"/>
  <c r="F22" i="6"/>
  <c r="H22" i="6" s="1"/>
  <c r="I22" i="6" s="1"/>
  <c r="J22" i="6" s="1"/>
  <c r="AH16" i="1"/>
  <c r="AK10" i="8"/>
  <c r="AK28" i="8"/>
  <c r="AJ38" i="8"/>
  <c r="AL37" i="8"/>
  <c r="AJ36" i="8"/>
  <c r="AK35" i="8"/>
  <c r="AK38" i="8"/>
  <c r="AK16" i="1"/>
  <c r="J2" i="8"/>
  <c r="AI3" i="8"/>
  <c r="AL10" i="8"/>
  <c r="AI11" i="8"/>
  <c r="AJ21" i="8"/>
  <c r="AI22" i="8"/>
  <c r="AK26" i="8"/>
  <c r="AL28" i="8"/>
  <c r="AU34" i="8"/>
  <c r="AI34" i="8"/>
  <c r="AQ34" i="8"/>
  <c r="AE34" i="8"/>
  <c r="AO34" i="8"/>
  <c r="AC34" i="8"/>
  <c r="AV34" i="8"/>
  <c r="AJ34" i="8"/>
  <c r="AL34" i="8"/>
  <c r="AI74" i="8"/>
  <c r="AJ3" i="10"/>
  <c r="AI3" i="10"/>
  <c r="AN3" i="10"/>
  <c r="Q3" i="10"/>
  <c r="AL3" i="10"/>
  <c r="AK3" i="10"/>
  <c r="Y9" i="1"/>
  <c r="AW16" i="1"/>
  <c r="AK3" i="8"/>
  <c r="AM10" i="8"/>
  <c r="AJ11" i="8"/>
  <c r="AK21" i="8"/>
  <c r="AJ22" i="8"/>
  <c r="AI23" i="8"/>
  <c r="AM34" i="8"/>
  <c r="Q45" i="8"/>
  <c r="U45" i="8" s="1"/>
  <c r="V45" i="8" s="1"/>
  <c r="AL54" i="8"/>
  <c r="AJ56" i="8"/>
  <c r="AM55" i="8"/>
  <c r="AK54" i="8"/>
  <c r="AN53" i="8"/>
  <c r="AL53" i="8"/>
  <c r="AK53" i="8"/>
  <c r="AK56" i="8"/>
  <c r="AN55" i="8"/>
  <c r="AS70" i="8"/>
  <c r="F47" i="9" s="1"/>
  <c r="AG70" i="8"/>
  <c r="F35" i="9" s="1"/>
  <c r="AP70" i="8"/>
  <c r="F44" i="9" s="1"/>
  <c r="AD70" i="8"/>
  <c r="F32" i="9" s="1"/>
  <c r="B18" i="9"/>
  <c r="O70" i="8"/>
  <c r="AX70" i="8"/>
  <c r="F52" i="9" s="1"/>
  <c r="AW70" i="8"/>
  <c r="F51" i="9" s="1"/>
  <c r="AV70" i="8"/>
  <c r="F50" i="9" s="1"/>
  <c r="AH70" i="8"/>
  <c r="AU70" i="8"/>
  <c r="F49" i="9" s="1"/>
  <c r="AF70" i="8"/>
  <c r="F34" i="9" s="1"/>
  <c r="AT70" i="8"/>
  <c r="AE70" i="8"/>
  <c r="F33" i="9" s="1"/>
  <c r="AQ70" i="8"/>
  <c r="F45" i="9" s="1"/>
  <c r="AB70" i="8"/>
  <c r="AO70" i="8"/>
  <c r="F43" i="9" s="1"/>
  <c r="U8" i="10"/>
  <c r="V8" i="10" s="1"/>
  <c r="AN10" i="8"/>
  <c r="AL25" i="8"/>
  <c r="Q28" i="8"/>
  <c r="U28" i="8" s="1"/>
  <c r="J61" i="8"/>
  <c r="AK66" i="8"/>
  <c r="AL72" i="8"/>
  <c r="AL9" i="8"/>
  <c r="AK72" i="8"/>
  <c r="AL66" i="8"/>
  <c r="AC10" i="1"/>
  <c r="BE16" i="1"/>
  <c r="AW17" i="1"/>
  <c r="BD17" i="1" s="1"/>
  <c r="AW18" i="1"/>
  <c r="BD18" i="1" s="1"/>
  <c r="AN3" i="8"/>
  <c r="AK6" i="8"/>
  <c r="AM67" i="8"/>
  <c r="AJ67" i="8"/>
  <c r="AN67" i="8"/>
  <c r="AL67" i="8"/>
  <c r="AK67" i="8"/>
  <c r="AN73" i="8"/>
  <c r="AM73" i="8"/>
  <c r="AL73" i="8"/>
  <c r="AK73" i="8"/>
  <c r="AI73" i="8"/>
  <c r="AK11" i="8"/>
  <c r="AN11" i="8"/>
  <c r="AJ12" i="8"/>
  <c r="AJ23" i="8"/>
  <c r="AK22" i="8"/>
  <c r="AL24" i="8"/>
  <c r="AI21" i="8"/>
  <c r="AR34" i="8"/>
  <c r="U7" i="10"/>
  <c r="V7" i="10" s="1"/>
  <c r="U14" i="10"/>
  <c r="V14" i="10" s="1"/>
  <c r="AL6" i="8"/>
  <c r="J2" i="10"/>
  <c r="AE37" i="10" s="1"/>
  <c r="Q5" i="10"/>
  <c r="U11" i="10"/>
  <c r="V11" i="10" s="1"/>
  <c r="AM69" i="8"/>
  <c r="AM68" i="8"/>
  <c r="AM75" i="8"/>
  <c r="AJ69" i="8"/>
  <c r="AJ68" i="8"/>
  <c r="AN68" i="8"/>
  <c r="AN75" i="8"/>
  <c r="AL75" i="8"/>
  <c r="AN74" i="8"/>
  <c r="AN69" i="8"/>
  <c r="AK68" i="8"/>
  <c r="AM12" i="8"/>
  <c r="AK75" i="8"/>
  <c r="AM74" i="8"/>
  <c r="AL69" i="8"/>
  <c r="AI68" i="8"/>
  <c r="AJ75" i="8"/>
  <c r="AL74" i="8"/>
  <c r="AK69" i="8"/>
  <c r="AK12" i="8"/>
  <c r="AI75" i="8"/>
  <c r="AK74" i="8"/>
  <c r="AI69" i="8"/>
  <c r="AJ74" i="8"/>
  <c r="AN12" i="8"/>
  <c r="AJ73" i="8"/>
  <c r="AN6" i="8"/>
  <c r="Q25" i="8"/>
  <c r="U25" i="8" s="1"/>
  <c r="J76" i="8"/>
  <c r="AX76" i="8" s="1"/>
  <c r="G52" i="9" s="1"/>
  <c r="U5" i="10"/>
  <c r="V5" i="10" s="1"/>
  <c r="U20" i="10"/>
  <c r="V20" i="10" s="1"/>
  <c r="AT21" i="10"/>
  <c r="AP27" i="10"/>
  <c r="U69" i="8"/>
  <c r="J35" i="10"/>
  <c r="AK8" i="10"/>
  <c r="AJ8" i="10"/>
  <c r="AN8" i="10"/>
  <c r="AY21" i="10"/>
  <c r="AT50" i="10"/>
  <c r="AS50" i="10"/>
  <c r="AG50" i="10"/>
  <c r="AR50" i="10"/>
  <c r="AQ50" i="10"/>
  <c r="AE50" i="10"/>
  <c r="AP50" i="10"/>
  <c r="AD50" i="10"/>
  <c r="AC50" i="10"/>
  <c r="AN50" i="10"/>
  <c r="AB50" i="10"/>
  <c r="AA50" i="10"/>
  <c r="AX50" i="10"/>
  <c r="AW50" i="10"/>
  <c r="AV50" i="10"/>
  <c r="AU50" i="10"/>
  <c r="J50" i="10"/>
  <c r="AF50" i="10" s="1"/>
  <c r="AD21" i="10"/>
  <c r="V62" i="10"/>
  <c r="V68" i="10" s="1"/>
  <c r="X50" i="10"/>
  <c r="U74" i="8"/>
  <c r="U72" i="8"/>
  <c r="U66" i="8"/>
  <c r="U15" i="10"/>
  <c r="V15" i="10" s="1"/>
  <c r="AE21" i="10"/>
  <c r="AO27" i="10"/>
  <c r="AC27" i="10"/>
  <c r="AN27" i="10"/>
  <c r="AB27" i="10"/>
  <c r="AY27" i="10"/>
  <c r="AM27" i="10"/>
  <c r="AX27" i="10"/>
  <c r="AL27" i="10"/>
  <c r="AW27" i="10"/>
  <c r="AK27" i="10"/>
  <c r="AV27" i="10"/>
  <c r="AJ27" i="10"/>
  <c r="AU27" i="10"/>
  <c r="AI27" i="10"/>
  <c r="AT27" i="10"/>
  <c r="AH27" i="10"/>
  <c r="AS27" i="10"/>
  <c r="AL49" i="8"/>
  <c r="U3" i="10"/>
  <c r="AK5" i="10"/>
  <c r="AJ37" i="10" s="1"/>
  <c r="AJ41" i="10"/>
  <c r="AI41" i="10"/>
  <c r="AH41" i="10"/>
  <c r="AH44" i="10" s="1"/>
  <c r="AM47" i="10"/>
  <c r="AM50" i="10" s="1"/>
  <c r="AL47" i="10"/>
  <c r="AK47" i="10"/>
  <c r="AJ47" i="10"/>
  <c r="AI47" i="10"/>
  <c r="AH47" i="10"/>
  <c r="AH50" i="10" s="1"/>
  <c r="AM41" i="10"/>
  <c r="AL41" i="10"/>
  <c r="AK41" i="10"/>
  <c r="AN9" i="10"/>
  <c r="AL14" i="10"/>
  <c r="AK14" i="10"/>
  <c r="AF21" i="10"/>
  <c r="U67" i="8"/>
  <c r="AL5" i="10"/>
  <c r="AK20" i="10"/>
  <c r="AG21" i="10"/>
  <c r="AS24" i="10"/>
  <c r="AC24" i="10"/>
  <c r="AR24" i="10"/>
  <c r="AB24" i="10"/>
  <c r="AQ24" i="10"/>
  <c r="AO24" i="10"/>
  <c r="AJ24" i="10"/>
  <c r="AY24" i="10"/>
  <c r="AI24" i="10"/>
  <c r="AX24" i="10"/>
  <c r="AH24" i="10"/>
  <c r="AV24" i="10"/>
  <c r="V44" i="10"/>
  <c r="AM5" i="10"/>
  <c r="U9" i="10"/>
  <c r="V9" i="10" s="1"/>
  <c r="AH21" i="10"/>
  <c r="AN5" i="10"/>
  <c r="AM37" i="10"/>
  <c r="AH37" i="10"/>
  <c r="AS37" i="10"/>
  <c r="AO5" i="10"/>
  <c r="AO21" i="10"/>
  <c r="AC21" i="10"/>
  <c r="AN21" i="10"/>
  <c r="AB21" i="10"/>
  <c r="AA37" i="10" s="1"/>
  <c r="AX21" i="10"/>
  <c r="AL21" i="10"/>
  <c r="AW21" i="10"/>
  <c r="AK21" i="10"/>
  <c r="AV21" i="10"/>
  <c r="AJ21" i="10"/>
  <c r="AU21" i="10"/>
  <c r="AI21" i="10"/>
  <c r="AP21" i="10"/>
  <c r="AO37" i="10" s="1"/>
  <c r="T73" i="8"/>
  <c r="V73" i="8" s="1"/>
  <c r="U18" i="10"/>
  <c r="V18" i="10" s="1"/>
  <c r="Q21" i="10"/>
  <c r="U21" i="10" s="1"/>
  <c r="V21" i="10" s="1"/>
  <c r="AQ21" i="10"/>
  <c r="AE27" i="10"/>
  <c r="AR21" i="10"/>
  <c r="AF27" i="10"/>
  <c r="AL8" i="10"/>
  <c r="AI9" i="10"/>
  <c r="U17" i="10"/>
  <c r="V17" i="10" s="1"/>
  <c r="AS21" i="10"/>
  <c r="AG27" i="10"/>
  <c r="AL28" i="10"/>
  <c r="AL31" i="10"/>
  <c r="AK42" i="10"/>
  <c r="AK43" i="10"/>
  <c r="AE44" i="10"/>
  <c r="AQ44" i="10"/>
  <c r="AJ40" i="10"/>
  <c r="AJ44" i="10" s="1"/>
  <c r="AL42" i="10"/>
  <c r="AL44" i="10" s="1"/>
  <c r="AL43" i="10"/>
  <c r="AF44" i="10"/>
  <c r="AR44" i="10"/>
  <c r="AK40" i="10"/>
  <c r="AK44" i="10" s="1"/>
  <c r="AM42" i="10"/>
  <c r="AM43" i="10"/>
  <c r="AG44" i="10"/>
  <c r="AS44" i="10"/>
  <c r="AT44" i="10"/>
  <c r="AJ4" i="10"/>
  <c r="AK7" i="10"/>
  <c r="AJ10" i="10"/>
  <c r="AF19" i="10"/>
  <c r="AU19" i="10"/>
  <c r="AO22" i="10"/>
  <c r="AF23" i="10"/>
  <c r="AR23" i="10"/>
  <c r="AQ37" i="10" s="1"/>
  <c r="AB25" i="10"/>
  <c r="AR25" i="10"/>
  <c r="O44" i="10"/>
  <c r="AU44" i="10"/>
  <c r="AJ46" i="10"/>
  <c r="AJ50" i="10" s="1"/>
  <c r="AH48" i="10"/>
  <c r="AG19" i="10"/>
  <c r="AV19" i="10"/>
  <c r="AP22" i="10"/>
  <c r="AG23" i="10"/>
  <c r="AS23" i="10"/>
  <c r="AC25" i="10"/>
  <c r="AS25" i="10"/>
  <c r="AV44" i="10"/>
  <c r="AI48" i="10"/>
  <c r="AI50" i="10" s="1"/>
  <c r="AL4" i="10"/>
  <c r="AK37" i="10" s="1"/>
  <c r="AL10" i="10"/>
  <c r="AI13" i="10"/>
  <c r="AH19" i="10"/>
  <c r="AW19" i="10"/>
  <c r="AQ22" i="10"/>
  <c r="AD25" i="10"/>
  <c r="AT25" i="10"/>
  <c r="AW44" i="10"/>
  <c r="AJ48" i="10"/>
  <c r="AH49" i="10"/>
  <c r="AJ13" i="10"/>
  <c r="AJ19" i="10"/>
  <c r="AX19" i="10"/>
  <c r="AW37" i="10" s="1"/>
  <c r="AB22" i="10"/>
  <c r="AR22" i="10"/>
  <c r="AI23" i="10"/>
  <c r="AU23" i="10"/>
  <c r="AE25" i="10"/>
  <c r="AU25" i="10"/>
  <c r="AX44" i="10"/>
  <c r="AK48" i="10"/>
  <c r="AI49" i="10"/>
  <c r="AF25" i="10"/>
  <c r="AV25" i="10"/>
  <c r="AL48" i="10"/>
  <c r="AJ49" i="10"/>
  <c r="AL19" i="10"/>
  <c r="AD22" i="10"/>
  <c r="AC37" i="10" s="1"/>
  <c r="AT22" i="10"/>
  <c r="AK23" i="10"/>
  <c r="AW23" i="10"/>
  <c r="AG25" i="10"/>
  <c r="AW25" i="10"/>
  <c r="AI28" i="10"/>
  <c r="AH42" i="10"/>
  <c r="AH43" i="10"/>
  <c r="AB44" i="10"/>
  <c r="AN44" i="10"/>
  <c r="AM48" i="10"/>
  <c r="AK49" i="10"/>
  <c r="AK50" i="10" s="1"/>
  <c r="AE22" i="10"/>
  <c r="AU22" i="10"/>
  <c r="AT37" i="10" s="1"/>
  <c r="AH25" i="10"/>
  <c r="AX25" i="10"/>
  <c r="AJ28" i="10"/>
  <c r="AJ31" i="10"/>
  <c r="AI42" i="10"/>
  <c r="AI44" i="10" s="1"/>
  <c r="AI43" i="10"/>
  <c r="AL49" i="10"/>
  <c r="AF22" i="10"/>
  <c r="AM23" i="10"/>
  <c r="AI25" i="10"/>
  <c r="AJ42" i="10"/>
  <c r="AJ43" i="10"/>
  <c r="AD44" i="10"/>
  <c r="AI88" i="8" l="1"/>
  <c r="I37" i="9" s="1"/>
  <c r="AS88" i="8"/>
  <c r="I47" i="9" s="1"/>
  <c r="AC88" i="8"/>
  <c r="I31" i="9" s="1"/>
  <c r="AM87" i="8"/>
  <c r="H41" i="9" s="1"/>
  <c r="AQ87" i="8"/>
  <c r="H45" i="9" s="1"/>
  <c r="AF87" i="8"/>
  <c r="H34" i="9" s="1"/>
  <c r="AV87" i="8"/>
  <c r="H50" i="9" s="1"/>
  <c r="AP87" i="8"/>
  <c r="H44" i="9" s="1"/>
  <c r="AW87" i="8"/>
  <c r="H51" i="9" s="1"/>
  <c r="AO87" i="8"/>
  <c r="H43" i="9" s="1"/>
  <c r="AK88" i="8"/>
  <c r="I39" i="9" s="1"/>
  <c r="AR87" i="8"/>
  <c r="H46" i="9" s="1"/>
  <c r="AU88" i="8"/>
  <c r="I49" i="9" s="1"/>
  <c r="AJ88" i="8"/>
  <c r="I38" i="9" s="1"/>
  <c r="AP88" i="8"/>
  <c r="I44" i="9" s="1"/>
  <c r="AK87" i="8"/>
  <c r="H39" i="9" s="1"/>
  <c r="AT88" i="8"/>
  <c r="I48" i="9" s="1"/>
  <c r="AN88" i="8"/>
  <c r="I42" i="9" s="1"/>
  <c r="AN87" i="8"/>
  <c r="H42" i="9" s="1"/>
  <c r="AQ88" i="8"/>
  <c r="I45" i="9" s="1"/>
  <c r="AJ87" i="8"/>
  <c r="H38" i="9" s="1"/>
  <c r="AH87" i="8"/>
  <c r="H36" i="9" s="1"/>
  <c r="AX88" i="8"/>
  <c r="I52" i="9" s="1"/>
  <c r="AL88" i="8"/>
  <c r="I40" i="9" s="1"/>
  <c r="AR88" i="8"/>
  <c r="I46" i="9" s="1"/>
  <c r="AI87" i="8"/>
  <c r="H37" i="9" s="1"/>
  <c r="AF88" i="8"/>
  <c r="I34" i="9" s="1"/>
  <c r="AE87" i="8"/>
  <c r="H33" i="9" s="1"/>
  <c r="AL87" i="8"/>
  <c r="H40" i="9" s="1"/>
  <c r="AM88" i="8"/>
  <c r="I41" i="9" s="1"/>
  <c r="AG87" i="8"/>
  <c r="H35" i="9" s="1"/>
  <c r="AS87" i="8"/>
  <c r="H47" i="9" s="1"/>
  <c r="AE88" i="8"/>
  <c r="I33" i="9" s="1"/>
  <c r="AD87" i="8"/>
  <c r="H32" i="9" s="1"/>
  <c r="AO88" i="8"/>
  <c r="I43" i="9" s="1"/>
  <c r="AG88" i="8"/>
  <c r="I35" i="9" s="1"/>
  <c r="AT87" i="8"/>
  <c r="H48" i="9" s="1"/>
  <c r="AY87" i="8"/>
  <c r="I53" i="9" s="1"/>
  <c r="AH88" i="8"/>
  <c r="I36" i="9" s="1"/>
  <c r="AD88" i="8"/>
  <c r="I32" i="9" s="1"/>
  <c r="AX87" i="8"/>
  <c r="H52" i="9" s="1"/>
  <c r="AC87" i="8"/>
  <c r="H31" i="9" s="1"/>
  <c r="AB88" i="8"/>
  <c r="I30" i="9" s="1"/>
  <c r="AV88" i="8"/>
  <c r="I50" i="9" s="1"/>
  <c r="AB87" i="8"/>
  <c r="H30" i="9" s="1"/>
  <c r="AU87" i="8"/>
  <c r="H49" i="9" s="1"/>
  <c r="AW88" i="8"/>
  <c r="I51" i="9" s="1"/>
  <c r="AY88" i="8"/>
  <c r="V32" i="8"/>
  <c r="V23" i="8"/>
  <c r="E50" i="9"/>
  <c r="V27" i="8"/>
  <c r="E38" i="9"/>
  <c r="E36" i="9"/>
  <c r="E44" i="9"/>
  <c r="E34" i="9"/>
  <c r="E53" i="9"/>
  <c r="E30" i="9"/>
  <c r="E45" i="9"/>
  <c r="E52" i="9"/>
  <c r="E33" i="9"/>
  <c r="V38" i="8"/>
  <c r="E39" i="9"/>
  <c r="E49" i="9"/>
  <c r="E40" i="9"/>
  <c r="E51" i="9"/>
  <c r="E37" i="9"/>
  <c r="E32" i="9"/>
  <c r="E43" i="9"/>
  <c r="E31" i="9"/>
  <c r="E48" i="9"/>
  <c r="V55" i="8"/>
  <c r="V26" i="8"/>
  <c r="V33" i="8"/>
  <c r="AJ70" i="8"/>
  <c r="F38" i="9" s="1"/>
  <c r="V31" i="8"/>
  <c r="V49" i="8"/>
  <c r="V7" i="8"/>
  <c r="V21" i="8"/>
  <c r="V53" i="8"/>
  <c r="V11" i="8"/>
  <c r="V6" i="8"/>
  <c r="V36" i="8"/>
  <c r="V35" i="8"/>
  <c r="V30" i="8"/>
  <c r="V28" i="8"/>
  <c r="V12" i="8"/>
  <c r="V10" i="8"/>
  <c r="V24" i="8"/>
  <c r="V29" i="8"/>
  <c r="V25" i="8"/>
  <c r="V37" i="8"/>
  <c r="V54" i="8"/>
  <c r="V47" i="8"/>
  <c r="V70" i="8"/>
  <c r="X70" i="8" s="1"/>
  <c r="AM70" i="8"/>
  <c r="F41" i="9" s="1"/>
  <c r="V48" i="8"/>
  <c r="AI70" i="8"/>
  <c r="F37" i="9" s="1"/>
  <c r="V76" i="8"/>
  <c r="X76" i="8" s="1"/>
  <c r="AN70" i="8"/>
  <c r="F42" i="9" s="1"/>
  <c r="V56" i="8"/>
  <c r="AM76" i="8"/>
  <c r="G41" i="9" s="1"/>
  <c r="AV62" i="8"/>
  <c r="D50" i="9" s="1"/>
  <c r="AJ76" i="8"/>
  <c r="G38" i="9" s="1"/>
  <c r="AC76" i="8"/>
  <c r="G31" i="9" s="1"/>
  <c r="AG76" i="8"/>
  <c r="G35" i="9" s="1"/>
  <c r="AB76" i="8"/>
  <c r="G30" i="9" s="1"/>
  <c r="AV76" i="8"/>
  <c r="G50" i="9" s="1"/>
  <c r="AW76" i="8"/>
  <c r="G51" i="9" s="1"/>
  <c r="AY76" i="8"/>
  <c r="G53" i="9" s="1"/>
  <c r="AH76" i="8"/>
  <c r="G36" i="9" s="1"/>
  <c r="AK76" i="8"/>
  <c r="G39" i="9" s="1"/>
  <c r="AE76" i="8"/>
  <c r="G33" i="9" s="1"/>
  <c r="AQ76" i="8"/>
  <c r="G45" i="9" s="1"/>
  <c r="AS76" i="8"/>
  <c r="G47" i="9" s="1"/>
  <c r="AF76" i="8"/>
  <c r="G34" i="9" s="1"/>
  <c r="AN76" i="8"/>
  <c r="G42" i="9" s="1"/>
  <c r="AP76" i="8"/>
  <c r="G44" i="9" s="1"/>
  <c r="AO76" i="8"/>
  <c r="G43" i="9" s="1"/>
  <c r="AI76" i="8"/>
  <c r="G37" i="9" s="1"/>
  <c r="AK62" i="8"/>
  <c r="D39" i="9" s="1"/>
  <c r="AP62" i="8"/>
  <c r="D44" i="9" s="1"/>
  <c r="AI62" i="8"/>
  <c r="D37" i="9" s="1"/>
  <c r="AM62" i="8"/>
  <c r="D41" i="9" s="1"/>
  <c r="AO62" i="8"/>
  <c r="D43" i="9" s="1"/>
  <c r="AC62" i="8"/>
  <c r="D31" i="9" s="1"/>
  <c r="AL62" i="8"/>
  <c r="D40" i="9" s="1"/>
  <c r="AU62" i="8"/>
  <c r="D49" i="9" s="1"/>
  <c r="AD62" i="8"/>
  <c r="D32" i="9" s="1"/>
  <c r="AN62" i="8"/>
  <c r="D42" i="9" s="1"/>
  <c r="AJ62" i="8"/>
  <c r="D38" i="9" s="1"/>
  <c r="AT62" i="8"/>
  <c r="D48" i="9" s="1"/>
  <c r="E42" i="9"/>
  <c r="AE62" i="8"/>
  <c r="D33" i="9" s="1"/>
  <c r="AF62" i="8"/>
  <c r="D34" i="9" s="1"/>
  <c r="E46" i="9"/>
  <c r="AQ62" i="8"/>
  <c r="D45" i="9" s="1"/>
  <c r="AX62" i="8"/>
  <c r="D52" i="9" s="1"/>
  <c r="AH62" i="8"/>
  <c r="D36" i="9" s="1"/>
  <c r="AW62" i="8"/>
  <c r="D51" i="9" s="1"/>
  <c r="AR62" i="8"/>
  <c r="D46" i="9" s="1"/>
  <c r="AG62" i="8"/>
  <c r="D35" i="9" s="1"/>
  <c r="AS62" i="8"/>
  <c r="D47" i="9" s="1"/>
  <c r="AY62" i="8"/>
  <c r="D53" i="9" s="1"/>
  <c r="AB62" i="8"/>
  <c r="D30" i="9" s="1"/>
  <c r="J24" i="6"/>
  <c r="K23" i="6" s="1"/>
  <c r="L23" i="6" s="1"/>
  <c r="M23" i="6" s="1"/>
  <c r="N23" i="6" s="1"/>
  <c r="O23" i="6" s="1"/>
  <c r="BE20" i="1"/>
  <c r="BN19" i="1"/>
  <c r="BL33" i="1"/>
  <c r="BN33" i="1" s="1"/>
  <c r="BO33" i="1" s="1"/>
  <c r="AW23" i="1"/>
  <c r="BN34" i="1"/>
  <c r="BM16" i="1"/>
  <c r="AG37" i="10"/>
  <c r="AO50" i="10"/>
  <c r="B21" i="9"/>
  <c r="B22" i="9" s="1"/>
  <c r="AR76" i="8"/>
  <c r="G46" i="9" s="1"/>
  <c r="AD76" i="8"/>
  <c r="G32" i="9" s="1"/>
  <c r="AL76" i="8"/>
  <c r="G40" i="9" s="1"/>
  <c r="F36" i="9"/>
  <c r="AQ36" i="10"/>
  <c r="AE36" i="10"/>
  <c r="AP37" i="10"/>
  <c r="AD37" i="10"/>
  <c r="AP36" i="10"/>
  <c r="AD36" i="10"/>
  <c r="AO36" i="10"/>
  <c r="AC36" i="10"/>
  <c r="AN37" i="10"/>
  <c r="AB37" i="10"/>
  <c r="AN36" i="10"/>
  <c r="AB36" i="10"/>
  <c r="AM36" i="10"/>
  <c r="AA36" i="10"/>
  <c r="AX37" i="10"/>
  <c r="AL37" i="10"/>
  <c r="AX36" i="10"/>
  <c r="AL36" i="10"/>
  <c r="AW36" i="10"/>
  <c r="AK36" i="10"/>
  <c r="AV36" i="10"/>
  <c r="AJ36" i="10"/>
  <c r="AU37" i="10"/>
  <c r="AI37" i="10"/>
  <c r="AU36" i="10"/>
  <c r="AI36" i="10"/>
  <c r="AT36" i="10"/>
  <c r="AH36" i="10"/>
  <c r="AS36" i="10"/>
  <c r="AG36" i="10"/>
  <c r="AR37" i="10"/>
  <c r="AF37" i="10"/>
  <c r="AR36" i="10"/>
  <c r="AF36" i="10"/>
  <c r="AK70" i="8"/>
  <c r="F39" i="9" s="1"/>
  <c r="B16" i="9"/>
  <c r="B12" i="9"/>
  <c r="BM31" i="1"/>
  <c r="BM35" i="1" s="1"/>
  <c r="BL31" i="1"/>
  <c r="BM18" i="1"/>
  <c r="BL18" i="1"/>
  <c r="T36" i="10"/>
  <c r="R35" i="10"/>
  <c r="P35" i="10"/>
  <c r="Q35" i="10" s="1"/>
  <c r="R61" i="8"/>
  <c r="T62" i="8"/>
  <c r="P61" i="8"/>
  <c r="Q61" i="8" s="1"/>
  <c r="BM17" i="1"/>
  <c r="BL17" i="1"/>
  <c r="AV37" i="10"/>
  <c r="AL50" i="10"/>
  <c r="AU76" i="8"/>
  <c r="G49" i="9" s="1"/>
  <c r="AT76" i="8"/>
  <c r="BD16" i="1"/>
  <c r="AZ22" i="1"/>
  <c r="AK22" i="1"/>
  <c r="AZ21" i="1"/>
  <c r="AK21" i="1"/>
  <c r="AW22" i="1"/>
  <c r="AH22" i="1"/>
  <c r="AW21" i="1"/>
  <c r="AW27" i="1" s="1"/>
  <c r="AH21" i="1"/>
  <c r="AZ23" i="1"/>
  <c r="AK23" i="1"/>
  <c r="B6" i="9"/>
  <c r="F30" i="9"/>
  <c r="X44" i="10"/>
  <c r="V63" i="10"/>
  <c r="U35" i="10"/>
  <c r="V3" i="10"/>
  <c r="B20" i="9"/>
  <c r="B19" i="9"/>
  <c r="AM44" i="10"/>
  <c r="U61" i="8"/>
  <c r="V3" i="8"/>
  <c r="AL70" i="8"/>
  <c r="F40" i="9" s="1"/>
  <c r="F48" i="9"/>
  <c r="E6" i="9"/>
  <c r="BO19" i="1"/>
  <c r="BN23" i="1"/>
  <c r="BO23" i="1" s="1"/>
  <c r="I24" i="6"/>
  <c r="H53" i="9" l="1"/>
  <c r="V99" i="8"/>
  <c r="V100" i="8" s="1"/>
  <c r="V98" i="8"/>
  <c r="V104" i="8" s="1"/>
  <c r="D6" i="9"/>
  <c r="D7" i="9"/>
  <c r="C7" i="9"/>
  <c r="B7" i="9"/>
  <c r="K21" i="6"/>
  <c r="L21" i="6" s="1"/>
  <c r="M21" i="6" s="1"/>
  <c r="N21" i="6" s="1"/>
  <c r="O21" i="6" s="1"/>
  <c r="K22" i="6"/>
  <c r="L22" i="6" s="1"/>
  <c r="M22" i="6" s="1"/>
  <c r="N22" i="6" s="1"/>
  <c r="O22" i="6" s="1"/>
  <c r="AH27" i="1"/>
  <c r="BM20" i="1"/>
  <c r="AK27" i="1"/>
  <c r="AZ27" i="1"/>
  <c r="AN31" i="1" s="1"/>
  <c r="BN38" i="1"/>
  <c r="BO38" i="1" s="1"/>
  <c r="Q58" i="1" s="1"/>
  <c r="BO39" i="1" s="1"/>
  <c r="F19" i="1" s="1"/>
  <c r="BO34" i="1"/>
  <c r="BD20" i="1"/>
  <c r="BF20" i="1" s="1"/>
  <c r="BL16" i="1"/>
  <c r="BL35" i="1"/>
  <c r="BN35" i="1" s="1"/>
  <c r="BO35" i="1" s="1"/>
  <c r="BN31" i="1"/>
  <c r="D3" i="9"/>
  <c r="C6" i="9"/>
  <c r="G48" i="9"/>
  <c r="E7" i="9"/>
  <c r="E3" i="9"/>
  <c r="V2" i="8"/>
  <c r="W3" i="8" s="1"/>
  <c r="V2" i="10"/>
  <c r="W3" i="10"/>
  <c r="C3" i="9"/>
  <c r="V69" i="10"/>
  <c r="V70" i="10" s="1"/>
  <c r="V64" i="10"/>
  <c r="B3" i="9"/>
  <c r="BN17" i="1"/>
  <c r="BO17" i="1" s="1"/>
  <c r="BN18" i="1"/>
  <c r="BO18" i="1" s="1"/>
  <c r="B23" i="9"/>
  <c r="B24" i="9"/>
  <c r="E4" i="9"/>
  <c r="E47" i="9"/>
  <c r="E35" i="9"/>
  <c r="C4" i="9"/>
  <c r="B4" i="9"/>
  <c r="D4" i="9"/>
  <c r="E41" i="9"/>
  <c r="D26" i="6" a="1"/>
  <c r="V105" i="8" l="1"/>
  <c r="V106" i="8" s="1"/>
  <c r="O24" i="6"/>
  <c r="AH31" i="1"/>
  <c r="AN32" i="1" s="1"/>
  <c r="P53" i="1" s="1"/>
  <c r="P54" i="1" s="1"/>
  <c r="P55" i="1" s="1"/>
  <c r="P56" i="1" s="1"/>
  <c r="P58" i="1" s="1"/>
  <c r="BO24" i="1" s="1"/>
  <c r="D19" i="1" s="1"/>
  <c r="E19" i="1" s="1"/>
  <c r="D26" i="6"/>
  <c r="B35" i="6" s="1"/>
  <c r="G26" i="6"/>
  <c r="B32" i="6" s="1"/>
  <c r="F26" i="6"/>
  <c r="B33" i="6" s="1"/>
  <c r="E26" i="6"/>
  <c r="B34" i="6" s="1"/>
  <c r="BO31" i="1"/>
  <c r="BN37" i="1"/>
  <c r="BO37" i="1" s="1"/>
  <c r="F18" i="1" s="1"/>
  <c r="W33" i="10"/>
  <c r="W25" i="10"/>
  <c r="W31" i="10"/>
  <c r="W13" i="10"/>
  <c r="W16" i="10"/>
  <c r="W29" i="10"/>
  <c r="W22" i="10"/>
  <c r="W26" i="10"/>
  <c r="W24" i="10"/>
  <c r="W23" i="10"/>
  <c r="W4" i="10"/>
  <c r="W10" i="10"/>
  <c r="W30" i="10"/>
  <c r="W12" i="10"/>
  <c r="W19" i="10"/>
  <c r="W27" i="10"/>
  <c r="W28" i="10"/>
  <c r="W7" i="10"/>
  <c r="W21" i="10"/>
  <c r="W20" i="10"/>
  <c r="W8" i="10"/>
  <c r="W15" i="10"/>
  <c r="W9" i="10"/>
  <c r="W5" i="10"/>
  <c r="W14" i="10"/>
  <c r="W18" i="10"/>
  <c r="W11" i="10"/>
  <c r="W17" i="10"/>
  <c r="BL20" i="1"/>
  <c r="BN20" i="1" s="1"/>
  <c r="BO20" i="1" s="1"/>
  <c r="BN16" i="1"/>
  <c r="W42" i="8"/>
  <c r="W40" i="8"/>
  <c r="W24" i="8"/>
  <c r="W12" i="8"/>
  <c r="W49" i="8"/>
  <c r="W9" i="8"/>
  <c r="W6" i="8"/>
  <c r="W7" i="8"/>
  <c r="W22" i="8"/>
  <c r="W17" i="8"/>
  <c r="W10" i="8"/>
  <c r="W21" i="8"/>
  <c r="W46" i="8"/>
  <c r="W48" i="8"/>
  <c r="W27" i="8"/>
  <c r="W29" i="8"/>
  <c r="W55" i="8"/>
  <c r="W32" i="8"/>
  <c r="W14" i="8"/>
  <c r="W47" i="8"/>
  <c r="W44" i="8"/>
  <c r="W13" i="8"/>
  <c r="W19" i="8"/>
  <c r="W37" i="8"/>
  <c r="W30" i="8"/>
  <c r="W43" i="8"/>
  <c r="W16" i="8"/>
  <c r="W38" i="8"/>
  <c r="W23" i="8"/>
  <c r="W45" i="8"/>
  <c r="W56" i="8"/>
  <c r="W36" i="8"/>
  <c r="W41" i="8"/>
  <c r="W11" i="8"/>
  <c r="W35" i="8"/>
  <c r="W15" i="8"/>
  <c r="W31" i="8"/>
  <c r="W54" i="8"/>
  <c r="W18" i="8"/>
  <c r="W25" i="8"/>
  <c r="W39" i="8"/>
  <c r="W20" i="8"/>
  <c r="W53" i="8"/>
  <c r="W33" i="8"/>
  <c r="W26" i="8"/>
  <c r="W28" i="8"/>
  <c r="W34" i="8"/>
  <c r="BN22" i="1" l="1"/>
  <c r="BO22" i="1" s="1"/>
  <c r="D18" i="1" s="1"/>
  <c r="E18" i="1" s="1"/>
  <c r="BO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tc={8631BC08-E462-40A4-9BBD-1A8377171E4F}</author>
    <author>tc={C223F60E-5FC9-4B2E-BBA0-7ADA8560D11D}</author>
    <author>tc={F63FFF1E-AE45-4C45-9051-CC8043243DBE}</author>
  </authors>
  <commentList>
    <comment ref="BH19" authorId="0" shapeId="0" xr:uid="{8631BC08-E462-40A4-9BBD-1A8377171E4F}">
      <text>
        <t>[Threaded comment]
Your version of Excel allows you to read this threaded comment; however, any edits to it will get removed if the file is opened in a newer version of Excel. Learn more: https://go.microsoft.com/fwlink/?linkid=870924
Comment:
    Does not include cooking and mop sinks</t>
      </text>
    </comment>
    <comment ref="BH34" authorId="1" shapeId="0" xr:uid="{C223F60E-5FC9-4B2E-BBA0-7ADA8560D11D}">
      <text>
        <t>[Threaded comment]
Your version of Excel allows you to read this threaded comment; however, any edits to it will get removed if the file is opened in a newer version of Excel. Learn more: https://go.microsoft.com/fwlink/?linkid=870924
Comment:
    Does not include cooking and mop sinks</t>
      </text>
    </comment>
    <comment ref="O53" authorId="2" shapeId="0" xr:uid="{F63FFF1E-AE45-4C45-9051-CC8043243DBE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assumed based on the overall building water reduction; DHW is not used for cooking food, only for washing utensils and dishes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Emma Stanley</author>
  </authors>
  <commentList>
    <comment ref="E1" authorId="0" shapeId="0" xr:uid="{B9B140F9-938C-42A5-B86D-56ED351D7F95}">
      <text>
        <r>
          <rPr>
            <b/>
            <sz val="9"/>
            <color indexed="81"/>
            <rFont val="Tahoma"/>
            <family val="2"/>
          </rPr>
          <t>Values in this column will override Amp/Volt calculations for equipment power</t>
        </r>
      </text>
    </comment>
    <comment ref="C7" authorId="0" shapeId="0" xr:uid="{77DBDA43-43F9-44D9-8577-B9B62D6AAE25}">
      <text>
        <r>
          <rPr>
            <b/>
            <sz val="9"/>
            <color indexed="81"/>
            <rFont val="Tahoma"/>
            <family val="2"/>
          </rPr>
          <t>Ventilator hood info should be input as a direct load to the Kitchen Fan Electric meter</t>
        </r>
      </text>
    </comment>
    <comment ref="E8" authorId="0" shapeId="0" xr:uid="{BA61368A-5B89-4DBB-98DF-E93EDDDC687E}">
      <text>
        <r>
          <rPr>
            <sz val="9"/>
            <color indexed="81"/>
            <rFont val="Tahoma"/>
            <family val="2"/>
          </rPr>
          <t>Keep as zero.  Not for typical operation</t>
        </r>
      </text>
    </comment>
    <comment ref="C50" authorId="0" shapeId="0" xr:uid="{0553ED17-9312-4F73-8A7D-C98F67AAEDA4}">
      <text>
        <r>
          <rPr>
            <sz val="9"/>
            <color indexed="81"/>
            <rFont val="Tahoma"/>
            <family val="2"/>
          </rPr>
          <t>Typically part of hot food counter</t>
        </r>
      </text>
    </comment>
    <comment ref="C51" authorId="0" shapeId="0" xr:uid="{33637307-45DD-4F95-9607-A94F31E8BADF}">
      <text>
        <r>
          <rPr>
            <sz val="9"/>
            <color indexed="81"/>
            <rFont val="Tahoma"/>
            <family val="2"/>
          </rPr>
          <t>Typically part of hot food counter</t>
        </r>
      </text>
    </comment>
    <comment ref="C52" authorId="0" shapeId="0" xr:uid="{1E329DA6-3226-4CBB-979B-A9C106E28B54}">
      <text>
        <r>
          <rPr>
            <sz val="9"/>
            <color indexed="81"/>
            <rFont val="Tahoma"/>
            <family val="2"/>
          </rPr>
          <t>Typically part of hot food counter</t>
        </r>
      </text>
    </comment>
    <comment ref="C57" authorId="0" shapeId="0" xr:uid="{6C66C14F-C578-46AE-A4B7-BF07C5985374}">
      <text>
        <r>
          <rPr>
            <sz val="9"/>
            <color indexed="81"/>
            <rFont val="Tahoma"/>
            <family val="2"/>
          </rPr>
          <t xml:space="preserve">
Typically part of Mobile Cashier Counter</t>
        </r>
      </text>
    </comment>
    <comment ref="C58" authorId="0" shapeId="0" xr:uid="{7329DB7F-6157-46BB-9C82-B00C14A96F15}">
      <text>
        <r>
          <rPr>
            <sz val="9"/>
            <color indexed="81"/>
            <rFont val="Tahoma"/>
            <family val="2"/>
          </rPr>
          <t xml:space="preserve">
Typically part of Mobile Cashier Counter</t>
        </r>
      </text>
    </comment>
    <comment ref="C59" authorId="0" shapeId="0" xr:uid="{E2C0C13D-3C91-4421-8C95-3999C06D7C7D}">
      <text>
        <r>
          <rPr>
            <sz val="9"/>
            <color indexed="81"/>
            <rFont val="Tahoma"/>
            <family val="2"/>
          </rPr>
          <t xml:space="preserve">
Typically part of Mobile Cashier Counter</t>
        </r>
      </text>
    </comment>
    <comment ref="C60" authorId="0" shapeId="0" xr:uid="{73AFEA7D-F3BA-4325-A3C7-301C954A75CA}">
      <text>
        <r>
          <rPr>
            <sz val="9"/>
            <color indexed="81"/>
            <rFont val="Tahoma"/>
            <family val="2"/>
          </rPr>
          <t xml:space="preserve">
Typically part of Mobile Cashier Counter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Emma Stanley</author>
    <author>Filip Stoian</author>
  </authors>
  <commentList>
    <comment ref="E6" authorId="0" shapeId="0" xr:uid="{2F873E9D-B697-458B-A9AE-A1C2EFA84685}">
      <text>
        <r>
          <rPr>
            <sz val="9"/>
            <color indexed="81"/>
            <rFont val="Tahoma"/>
            <family val="2"/>
          </rPr>
          <t>Keep as zero.  Not for typical operation</t>
        </r>
      </text>
    </comment>
    <comment ref="F25" authorId="1" shapeId="0" xr:uid="{AD1C13DC-5534-4395-AD56-ED6F38DB3645}">
      <text>
        <r>
          <rPr>
            <sz val="9"/>
            <color indexed="81"/>
            <rFont val="Tahoma"/>
            <family val="2"/>
            <charset val="238"/>
          </rPr>
          <t>Use 0- not a kitchen load</t>
        </r>
      </text>
    </comment>
    <comment ref="C32" authorId="0" shapeId="0" xr:uid="{7AF313A9-C4E8-4376-8625-66DF8839920C}">
      <text>
        <r>
          <rPr>
            <sz val="9"/>
            <color indexed="81"/>
            <rFont val="Tahoma"/>
            <family val="2"/>
          </rPr>
          <t>Typically part of hot food counter</t>
        </r>
      </text>
    </comment>
    <comment ref="C34" authorId="0" shapeId="0" xr:uid="{9A274ACB-0F62-48B3-AA3C-B681651EF322}">
      <text>
        <r>
          <rPr>
            <sz val="9"/>
            <color indexed="81"/>
            <rFont val="Tahoma"/>
            <family val="2"/>
          </rPr>
          <t xml:space="preserve">
Typically part of Mobile Cashier Counter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tc={A75019DE-B5A8-4813-BDE2-0EDC74D70DEB}</author>
    <author>Filip Stoian</author>
  </authors>
  <commentList>
    <comment ref="B9" authorId="0" shapeId="0" xr:uid="{A75019DE-B5A8-4813-BDE2-0EDC74D70DEB}">
      <text>
        <t>[Threaded comment]
Your version of Excel allows you to read this threaded comment; however, any edits to it will get removed if the file is opened in a newer version of Excel. Learn more: https://go.microsoft.com/fwlink/?linkid=870924
Comment:
    Pool water temperature = 80F</t>
      </text>
    </comment>
    <comment ref="A12" authorId="1" shapeId="0" xr:uid="{10EBA70B-730B-4B74-8BF7-D1D07A976E56}">
      <text>
        <r>
          <rPr>
            <b/>
            <sz val="9"/>
            <color indexed="81"/>
            <rFont val="Tahoma"/>
            <family val="2"/>
            <charset val="238"/>
          </rPr>
          <t>Filip Stoian:</t>
        </r>
        <r>
          <rPr>
            <sz val="9"/>
            <color indexed="81"/>
            <rFont val="Tahoma"/>
            <family val="2"/>
            <charset val="238"/>
          </rPr>
          <t xml:space="preserve">
water coming into the building. This should be the average ground water temperature for the location</t>
        </r>
      </text>
    </comment>
    <comment ref="A21" authorId="1" shapeId="0" xr:uid="{21516A42-C094-4FC4-AAEB-9B600B3E6B62}">
      <text>
        <r>
          <rPr>
            <b/>
            <sz val="9"/>
            <color indexed="81"/>
            <rFont val="Tahoma"/>
            <family val="2"/>
            <charset val="238"/>
          </rPr>
          <t>Filip Stoian:</t>
        </r>
        <r>
          <rPr>
            <sz val="9"/>
            <color indexed="81"/>
            <rFont val="Tahoma"/>
            <family val="2"/>
            <charset val="238"/>
          </rPr>
          <t xml:space="preserve">
saturation vapor pressure taken at surface water temperature,
in. Hg</t>
        </r>
      </text>
    </comment>
    <comment ref="B21" authorId="1" shapeId="0" xr:uid="{9F7FE9A0-2610-4BF2-B706-CEDE0ADAC78A}">
      <text>
        <r>
          <rPr>
            <b/>
            <sz val="9"/>
            <color indexed="81"/>
            <rFont val="Tahoma"/>
            <family val="2"/>
            <charset val="238"/>
          </rPr>
          <t>Filip Stoian:</t>
        </r>
        <r>
          <rPr>
            <sz val="9"/>
            <color indexed="81"/>
            <rFont val="Tahoma"/>
            <family val="2"/>
            <charset val="238"/>
          </rPr>
          <t xml:space="preserve">
Twater = 80F, RH = 100%</t>
        </r>
      </text>
    </comment>
    <comment ref="A22" authorId="1" shapeId="0" xr:uid="{2B0841E0-D1C7-4FF2-8DB6-C11D6C3BE250}">
      <text>
        <r>
          <rPr>
            <b/>
            <sz val="9"/>
            <color indexed="81"/>
            <rFont val="Tahoma"/>
            <family val="2"/>
            <charset val="238"/>
          </rPr>
          <t>Filip Stoian:</t>
        </r>
        <r>
          <rPr>
            <sz val="9"/>
            <color indexed="81"/>
            <rFont val="Tahoma"/>
            <family val="2"/>
            <charset val="238"/>
          </rPr>
          <t xml:space="preserve">
saturation pressure at room air dew point, in. Hg</t>
        </r>
      </text>
    </comment>
    <comment ref="B22" authorId="1" shapeId="0" xr:uid="{22D46299-1582-4439-8401-59F368FFD7B6}">
      <text>
        <r>
          <rPr>
            <b/>
            <sz val="9"/>
            <color indexed="81"/>
            <rFont val="Tahoma"/>
            <family val="2"/>
            <charset val="238"/>
          </rPr>
          <t>Filip Stoian:</t>
        </r>
        <r>
          <rPr>
            <sz val="9"/>
            <color indexed="81"/>
            <rFont val="Tahoma"/>
            <family val="2"/>
            <charset val="238"/>
          </rPr>
          <t xml:space="preserve">
Tair = 82F, RH = 60%
Tdew = 66.8F</t>
        </r>
      </text>
    </comment>
    <comment ref="A23" authorId="1" shapeId="0" xr:uid="{AFCECF2F-9D01-4EED-81B2-61D0A88BBF4B}">
      <text>
        <r>
          <rPr>
            <b/>
            <sz val="9"/>
            <color indexed="81"/>
            <rFont val="Tahoma"/>
            <family val="2"/>
            <charset val="238"/>
          </rPr>
          <t>Filip Stoian:</t>
        </r>
        <r>
          <rPr>
            <sz val="9"/>
            <color indexed="81"/>
            <rFont val="Tahoma"/>
            <family val="2"/>
            <charset val="238"/>
          </rPr>
          <t xml:space="preserve">
saturation pressure at room air dew point, in. Hg</t>
        </r>
      </text>
    </comment>
    <comment ref="B23" authorId="1" shapeId="0" xr:uid="{DD7F2535-3F0C-4BB0-AA7F-CA68F753B21F}">
      <text>
        <r>
          <rPr>
            <b/>
            <sz val="9"/>
            <color indexed="81"/>
            <rFont val="Tahoma"/>
            <family val="2"/>
            <charset val="238"/>
          </rPr>
          <t>Filip Stoian:</t>
        </r>
        <r>
          <rPr>
            <sz val="9"/>
            <color indexed="81"/>
            <rFont val="Tahoma"/>
            <family val="2"/>
            <charset val="238"/>
          </rPr>
          <t xml:space="preserve">
Tair = 82F, RH = 50%
Tdew = 61.59F</t>
        </r>
      </text>
    </comment>
  </commentList>
</comments>
</file>

<file path=xl/sharedStrings.xml><?xml version="1.0" encoding="utf-8"?>
<sst xmlns="http://schemas.openxmlformats.org/spreadsheetml/2006/main" count="1623" uniqueCount="645">
  <si>
    <t>Hot Water Demand Calculations</t>
  </si>
  <si>
    <t>Regular</t>
  </si>
  <si>
    <t>Summer</t>
  </si>
  <si>
    <t>Daily Uses</t>
  </si>
  <si>
    <t>Design Case</t>
  </si>
  <si>
    <t>GSG Baseline</t>
  </si>
  <si>
    <t>School Name</t>
  </si>
  <si>
    <t>Model Submission</t>
  </si>
  <si>
    <t>Drawing Set</t>
  </si>
  <si>
    <t>Material</t>
  </si>
  <si>
    <t xml:space="preserve">UFMAT-UH-PROP </t>
  </si>
  <si>
    <t xml:space="preserve">UFMAT-UH-NYC20 </t>
  </si>
  <si>
    <t xml:space="preserve">UFMAT-UH-ASH10 </t>
  </si>
  <si>
    <t xml:space="preserve">UFMAT-HT-PROP </t>
  </si>
  <si>
    <t xml:space="preserve">UFMAT-HT-NYC20 </t>
  </si>
  <si>
    <t xml:space="preserve">UFMAT-HT-ASH10 </t>
  </si>
  <si>
    <t>F-Factor Calculations for Slab-On-Grade</t>
  </si>
  <si>
    <t>R-Value (eQuest Input)</t>
  </si>
  <si>
    <t>Slab Cons. U-value</t>
  </si>
  <si>
    <t>F-Factor (Btu/hr-ft-F</t>
  </si>
  <si>
    <t>Heat Transferred (Btu/hr-F)</t>
  </si>
  <si>
    <t>ft2</t>
  </si>
  <si>
    <t>ft</t>
  </si>
  <si>
    <t>Description</t>
  </si>
  <si>
    <t>Proposed Design, unheated slab</t>
  </si>
  <si>
    <t>LL32 Baseline per NYCECC 2020, unheated slab</t>
  </si>
  <si>
    <t>Unheated Slab Area</t>
  </si>
  <si>
    <t>Unheated Slab Perimeter</t>
  </si>
  <si>
    <t>Heated Slab Area</t>
  </si>
  <si>
    <t>Heated Slab Perimeter</t>
  </si>
  <si>
    <t>LL32 Baseline per NYCECC 2020, heated slab</t>
  </si>
  <si>
    <t>Proposed Design, heated slab</t>
  </si>
  <si>
    <t>GSG 2019 Baseline, unheated slab</t>
  </si>
  <si>
    <t>GSG 2019 Baseline, heated slab</t>
  </si>
  <si>
    <t>Window Calculations for Project Specific Windows</t>
  </si>
  <si>
    <t>Glass-Type Name (eQuest Input)</t>
  </si>
  <si>
    <t>SHGC</t>
  </si>
  <si>
    <t>Glass Conductance (eQuest Input)</t>
  </si>
  <si>
    <t>Sample Win</t>
  </si>
  <si>
    <t>Shading Coefficient (eQuest Input)</t>
  </si>
  <si>
    <t>Assembly U-Value, Actual (Btu/ft2-F-hr)</t>
  </si>
  <si>
    <t>Copy rows for additional windows as needed</t>
  </si>
  <si>
    <t>Window U-Value Calculations for Combined Fixed &amp; Operable Units</t>
  </si>
  <si>
    <t>Fixed Area (% or ft2)</t>
  </si>
  <si>
    <t>Operable Area (% or ft2)</t>
  </si>
  <si>
    <t>Applies to metal framed windows only.  Curtainwall and storefront windows should be modeled separately.</t>
  </si>
  <si>
    <t>Proposed Fixed Assembly U-Value, Actual (Btu/ft2-F-hr)</t>
  </si>
  <si>
    <t>Proposed Operable Assembly U-Value, Actual (Btu/ft2-F-hr)</t>
  </si>
  <si>
    <t>Proposed Glass Conductance (eQuest Input)</t>
  </si>
  <si>
    <t>LL32 Glass Conductance (eQuest Input)</t>
  </si>
  <si>
    <t>GSG Baseline Glass Conductance (eQuest Input)</t>
  </si>
  <si>
    <t>LL32 Fixed U</t>
  </si>
  <si>
    <t>LL32 Operable U</t>
  </si>
  <si>
    <t>GSG Fixed U</t>
  </si>
  <si>
    <t>GSG Operable U</t>
  </si>
  <si>
    <t>LL32 Glass Conductance (Actual Average)</t>
  </si>
  <si>
    <t>Proposed</t>
  </si>
  <si>
    <t>Average Assembly U Values, Actual (BTU/hr-ft2-F)</t>
  </si>
  <si>
    <t>eQuest Glass-Conductance Input Values</t>
  </si>
  <si>
    <t>EIR-FT</t>
  </si>
  <si>
    <t>a</t>
  </si>
  <si>
    <t>b</t>
  </si>
  <si>
    <t>c</t>
  </si>
  <si>
    <t>d</t>
  </si>
  <si>
    <t>e</t>
  </si>
  <si>
    <t>f</t>
  </si>
  <si>
    <t>Provide all of the manufacturer information in Columns A through D.  Additional lines may be added.</t>
  </si>
  <si>
    <t>Copy the Independent data points from Column A to the eQuest curve</t>
  </si>
  <si>
    <t>Copy the Dependent data points from Column H to the eQuest curve</t>
  </si>
  <si>
    <t>PLR</t>
  </si>
  <si>
    <t>CHWT</t>
  </si>
  <si>
    <t>DBT</t>
  </si>
  <si>
    <t>Efficiency (kW/ton)</t>
  </si>
  <si>
    <t>Energy used @ Load 
(A x D)</t>
  </si>
  <si>
    <t>Target E-I-R</t>
  </si>
  <si>
    <t>EIR-FPLR</t>
  </si>
  <si>
    <t>This curve is only valid if the built in curve RecipAir-EIR-fCHWT&amp;DBT is used for the Performance Curve f(t evap leaving, t cond entering)</t>
  </si>
  <si>
    <t>LL32 Baseline</t>
  </si>
  <si>
    <t>Total number of Students in Project Area</t>
  </si>
  <si>
    <t>Total number of Staff in Project Area</t>
  </si>
  <si>
    <t>Hot Water Load Inputs</t>
  </si>
  <si>
    <t>Information from W2.1P, W2.2R tab in GSG Report</t>
  </si>
  <si>
    <t>Information from Plumbing Schedules</t>
  </si>
  <si>
    <t>DHW Heater Outlet Temp (Restroom service)</t>
  </si>
  <si>
    <t>Insert Total Number of Students Served by Kitchen</t>
  </si>
  <si>
    <t>May be different than students in Project Area (ie. Additions)</t>
  </si>
  <si>
    <t>Model Inputs</t>
  </si>
  <si>
    <t>Process Loads to DHW Loop</t>
  </si>
  <si>
    <t>Restroom Loads</t>
  </si>
  <si>
    <t>Schedule</t>
  </si>
  <si>
    <t>HW GPM input</t>
  </si>
  <si>
    <t>Kitchen Loads</t>
  </si>
  <si>
    <t>KITHW-SCH</t>
  </si>
  <si>
    <t>2019 GSG- ASHRAE 90.1-2010</t>
  </si>
  <si>
    <t>NYC ECC 2020 Energy Cost Budget</t>
  </si>
  <si>
    <t>EER</t>
  </si>
  <si>
    <t>IEER</t>
  </si>
  <si>
    <t>Full load efficiency</t>
  </si>
  <si>
    <t>kW/ton</t>
  </si>
  <si>
    <t>Full load power</t>
  </si>
  <si>
    <t>kW</t>
  </si>
  <si>
    <t>DEFAULT DOE2 CURVES</t>
  </si>
  <si>
    <t>DOE Code word</t>
  </si>
  <si>
    <t>Curve Name</t>
  </si>
  <si>
    <t>Curve Type</t>
  </si>
  <si>
    <t>A</t>
  </si>
  <si>
    <t>B</t>
  </si>
  <si>
    <t>C</t>
  </si>
  <si>
    <t>D</t>
  </si>
  <si>
    <t>E</t>
  </si>
  <si>
    <t>F</t>
  </si>
  <si>
    <t>TEST X</t>
  </si>
  <si>
    <t>TEST Y</t>
  </si>
  <si>
    <t>RESULT</t>
  </si>
  <si>
    <t>TARGET</t>
  </si>
  <si>
    <t>COOL-EIR-FT</t>
  </si>
  <si>
    <t>COOL-EIR-FPLR</t>
  </si>
  <si>
    <t>CALCULATIONS</t>
  </si>
  <si>
    <t>From AHRI Rating Conditions</t>
  </si>
  <si>
    <t>Default DOE2</t>
  </si>
  <si>
    <t>INPUT TO DOE2</t>
  </si>
  <si>
    <t>EWB</t>
  </si>
  <si>
    <t>OAT</t>
  </si>
  <si>
    <t>EIR OAT</t>
  </si>
  <si>
    <t>EIR PLR</t>
  </si>
  <si>
    <t>EIR Correction</t>
  </si>
  <si>
    <t>Load</t>
  </si>
  <si>
    <t>Revised EIR PLR</t>
  </si>
  <si>
    <t>Rev EIR</t>
  </si>
  <si>
    <t>Revised kW</t>
  </si>
  <si>
    <t>Rev. kW/ton</t>
  </si>
  <si>
    <t>Rev IEER</t>
  </si>
  <si>
    <t>DX-Cool-EIR-fEWB&amp;OAT</t>
  </si>
  <si>
    <t>BI-QUADRATIC-T</t>
  </si>
  <si>
    <t>DX-Cool-EIR-fPLR</t>
  </si>
  <si>
    <t>cubic</t>
  </si>
  <si>
    <t>Full Load @ ARI Conditions</t>
  </si>
  <si>
    <t>At ARI Conditions</t>
  </si>
  <si>
    <t>Provide the Manufacturer's EER &amp; IEER Below</t>
  </si>
  <si>
    <t>This curve is only valid if the built in curve DX-Cool-EIR-fEWB&amp;OAT is used for the COOL-EIR-FT Performance Curve f(t evap leaving, t cond entering)</t>
  </si>
  <si>
    <t>Use the coefficients below for the revised COOL-EIR-FPLR Curve (TYPE = CUBIC)</t>
  </si>
  <si>
    <t>The calculations on this spreadsheet will provide the coefficients for the COOL-EIR-FPLR curve that achieve the rated IPLV.</t>
  </si>
  <si>
    <t>The EER and IEER must be provided at ARI rated conditions.</t>
  </si>
  <si>
    <t>This curve can only be used for air-cooled DX systems.</t>
  </si>
  <si>
    <t>Step 1: Insert Occupancy Info</t>
  </si>
  <si>
    <t>supply T</t>
  </si>
  <si>
    <t>DHW schedule</t>
  </si>
  <si>
    <t xml:space="preserve">Regular </t>
  </si>
  <si>
    <t>average ground water temperature</t>
  </si>
  <si>
    <t>WD</t>
  </si>
  <si>
    <t>Toilet</t>
  </si>
  <si>
    <t>Kitchen</t>
  </si>
  <si>
    <t>WEH</t>
  </si>
  <si>
    <t>Total number students</t>
  </si>
  <si>
    <t>Reference Table 1: Instructional Days</t>
  </si>
  <si>
    <t>Total number of staff</t>
  </si>
  <si>
    <t>Annual Instruction Days School is in Full Operation</t>
  </si>
  <si>
    <t>Number of D75 students in classrooms with toilets</t>
  </si>
  <si>
    <t>Annual Instructional Days School is in Summer Operation</t>
  </si>
  <si>
    <t>Total students PK to K</t>
  </si>
  <si>
    <t>Conventional Water Closet (male 1-12)</t>
  </si>
  <si>
    <t>Conventional Urinal (male 1-12)</t>
  </si>
  <si>
    <t>Conventional Water Closet (female 1-12)</t>
  </si>
  <si>
    <t>Reference Table 2: Daily Sewage Volumes (gallons)</t>
  </si>
  <si>
    <t>CW + DHW</t>
  </si>
  <si>
    <t>Design case</t>
  </si>
  <si>
    <t>Base Case</t>
  </si>
  <si>
    <t>Gal/day</t>
  </si>
  <si>
    <t>Gal/year</t>
  </si>
  <si>
    <t>DHW</t>
  </si>
  <si>
    <t>Flowrate 
(gpm or gpc)</t>
  </si>
  <si>
    <t>Duration (Flush)</t>
  </si>
  <si>
    <t>Regular Sewage Generated</t>
  </si>
  <si>
    <t>Summer Sewage Generated</t>
  </si>
  <si>
    <t>Outlet T</t>
  </si>
  <si>
    <t>Gal/min</t>
  </si>
  <si>
    <t>Reg</t>
  </si>
  <si>
    <t>DHW %</t>
  </si>
  <si>
    <t>Correction factor</t>
  </si>
  <si>
    <t>Flow Fixtures</t>
  </si>
  <si>
    <t>Conventional Lavatory (Student) (cycle)</t>
  </si>
  <si>
    <t>Conventional Lavatory (Adult) (cycle)</t>
  </si>
  <si>
    <t>Shower (gpm, seconds)</t>
  </si>
  <si>
    <t>Hand Sink (cycle)</t>
  </si>
  <si>
    <t>Total</t>
  </si>
  <si>
    <t>Flush Fixtures</t>
  </si>
  <si>
    <t>Kitchen sink</t>
  </si>
  <si>
    <t>Conventional Water Closet (PK, K class rm w/ toilet)</t>
  </si>
  <si>
    <t>Kitchen total</t>
  </si>
  <si>
    <t>Conventional Water Closet (D75 class rm w/ toilet)</t>
  </si>
  <si>
    <t>Conventional Water Closet (adult)</t>
  </si>
  <si>
    <t>BASE CASE TOTALS</t>
  </si>
  <si>
    <t>DESIGN CASE TOTALS</t>
  </si>
  <si>
    <t>Baseline case</t>
  </si>
  <si>
    <t>FLH/day</t>
  </si>
  <si>
    <t>Regular Operation + Summer Operation Summary</t>
  </si>
  <si>
    <t>FLH/year</t>
  </si>
  <si>
    <t>Total "Regular Operation" + Summer Operation" Annual Volume</t>
  </si>
  <si>
    <t xml:space="preserve">Total: Water Use Reduction for "Regular Operation" + "Summer Operation" </t>
  </si>
  <si>
    <t>Table 3. Standards for appliances and processes</t>
  </si>
  <si>
    <t>Kitchen/Culinary Art Lab Equipment</t>
  </si>
  <si>
    <t>Requirement</t>
  </si>
  <si>
    <t>Gal/h</t>
  </si>
  <si>
    <t>Dishwasher Undercounter</t>
  </si>
  <si>
    <t>≤ 1.6</t>
  </si>
  <si>
    <t>gal/rack</t>
  </si>
  <si>
    <t>Food steamer Batch</t>
  </si>
  <si>
    <t>≤ 6</t>
  </si>
  <si>
    <t>gal/hour/pan</t>
  </si>
  <si>
    <t>Pre-rinse spray valves</t>
  </si>
  <si>
    <t>≤ 1.3</t>
  </si>
  <si>
    <t>gpm</t>
  </si>
  <si>
    <t>Combination Oven</t>
  </si>
  <si>
    <t>≤ 3.5</t>
  </si>
  <si>
    <t>gal/hour</t>
  </si>
  <si>
    <t>Quantity</t>
  </si>
  <si>
    <t>Days per Year</t>
  </si>
  <si>
    <t xml:space="preserve">Holiday </t>
  </si>
  <si>
    <t>Monday</t>
  </si>
  <si>
    <t>Tuesday</t>
  </si>
  <si>
    <t>Wednesday</t>
  </si>
  <si>
    <t>Thursday</t>
  </si>
  <si>
    <t>Friday</t>
  </si>
  <si>
    <t>Saturday</t>
  </si>
  <si>
    <t>Sunday</t>
  </si>
  <si>
    <t>Total (must equal 365 days/year)</t>
  </si>
  <si>
    <t>per equest manual</t>
  </si>
  <si>
    <t>Complete the Kitchen Equipment tab per the Kitchen Equipment Schedule</t>
  </si>
  <si>
    <t>Complete Orange cells for all equipment on the schedule</t>
  </si>
  <si>
    <t>For electrical equipment, either the blue</t>
  </si>
  <si>
    <t>or purple cells should be completed.</t>
  </si>
  <si>
    <t>Notes:</t>
  </si>
  <si>
    <t>If the kitchen has natural gas, the natural gas equipment section should be completed.  The natural gas appliances have electric component accounted for in Rows 9-12</t>
  </si>
  <si>
    <t>If the kitchen is all electric, then the electric cooking equipment in rows 79-82 should be included</t>
  </si>
  <si>
    <t>Leave the amps, volts, phase, and kW blank for items whose electric loads are included in another piece of equipment, such as milk coolers, water dispensers, etc.</t>
  </si>
  <si>
    <t>Leave the amps, volts, phase, and kW blank for the fire suppression system.</t>
  </si>
  <si>
    <t>Ventilator hood load should be included as a direct load on the Kitchen Fan Meter.</t>
  </si>
  <si>
    <t>It may be easier for accounting purposes to keep the kitchen equipment separate from the servery equipment, but it is not necessary.</t>
  </si>
  <si>
    <t>Default values for each equipment type have been provided.  These values should be updated to match the kitchen schedule when available.</t>
  </si>
  <si>
    <t>Complete the Input to eQuest tab</t>
  </si>
  <si>
    <t>Input the kitchen and servery areas as noted.</t>
  </si>
  <si>
    <t>Update the space equipment and source loads as noted.</t>
  </si>
  <si>
    <t>Copy schedules to eQuest</t>
  </si>
  <si>
    <t>Item #</t>
  </si>
  <si>
    <t>Qty</t>
  </si>
  <si>
    <t>Amps</t>
  </si>
  <si>
    <t>Volts</t>
  </si>
  <si>
    <t>Phase</t>
  </si>
  <si>
    <t>W each</t>
  </si>
  <si>
    <t>Total kW</t>
  </si>
  <si>
    <t>ASHRAE 2017 Reference</t>
  </si>
  <si>
    <t>Rated Btu/h</t>
  </si>
  <si>
    <t>Usage Factor</t>
  </si>
  <si>
    <t>Resulting Power</t>
  </si>
  <si>
    <t>Diversity Factor</t>
  </si>
  <si>
    <t>Hours of Operation</t>
  </si>
  <si>
    <t>Hours per Day</t>
  </si>
  <si>
    <t>Daily (Source kBtu)</t>
  </si>
  <si>
    <t>Yearly (Source kBtu)</t>
  </si>
  <si>
    <t>Fraction</t>
  </si>
  <si>
    <t>Energy Star</t>
  </si>
  <si>
    <t>Days/yr</t>
  </si>
  <si>
    <t>Energy model</t>
  </si>
  <si>
    <t>Sink Agitator</t>
  </si>
  <si>
    <t>NA</t>
  </si>
  <si>
    <t>7am-3pm</t>
  </si>
  <si>
    <t>Sink Heater</t>
  </si>
  <si>
    <t>Booster heater</t>
  </si>
  <si>
    <t>Ventilator Hood</t>
  </si>
  <si>
    <t>7am-1pm; School Days; This load is for the hood lights only</t>
  </si>
  <si>
    <t>Hood Fire Suppression System</t>
  </si>
  <si>
    <t>Not typically on</t>
  </si>
  <si>
    <t>Gas Tilt Skillet</t>
  </si>
  <si>
    <t>Assume 2 hours, Used on Demand; School Days</t>
  </si>
  <si>
    <t>Gas fired Steamer</t>
  </si>
  <si>
    <t>7am-1pm; School Days</t>
  </si>
  <si>
    <t>Natural Gas Dbl. Deck Convection Oven</t>
  </si>
  <si>
    <t>Natural Gas 4-Burner Range w/ Oven</t>
  </si>
  <si>
    <t>Reach-In Freezer 1</t>
  </si>
  <si>
    <t>Freezer (small)</t>
  </si>
  <si>
    <t>24/7</t>
  </si>
  <si>
    <t>Reach-In Freezer 2</t>
  </si>
  <si>
    <t>Reach-In Freezer 3</t>
  </si>
  <si>
    <t>Reach-In Freezer 4</t>
  </si>
  <si>
    <t>Reach-in Refrigerator 1</t>
  </si>
  <si>
    <t>Reach-in refrigerator</t>
  </si>
  <si>
    <t>Reach-in Refrigerator 2</t>
  </si>
  <si>
    <t>Reach-in Refrigerator 3</t>
  </si>
  <si>
    <t>Reach-in Refrigerator 4</t>
  </si>
  <si>
    <t>Mobile Heated Cabinet 1</t>
  </si>
  <si>
    <t>Cabinet: hot serving (large) insulated</t>
  </si>
  <si>
    <t>7am-2pm; School Days</t>
  </si>
  <si>
    <t>Mobile Heated Cabinet 2</t>
  </si>
  <si>
    <t>Mobile Heated Cabinet 3</t>
  </si>
  <si>
    <t>Mobile Heated Cabinet 4</t>
  </si>
  <si>
    <t>Cook's Table w/ Sink</t>
  </si>
  <si>
    <t>7am-2pm; School Days; These are convenience outlets for the staff to use for any owner supplied equipment such as blenders, mixers that would be used on demand for a short time.  Assume 7.0 amps</t>
  </si>
  <si>
    <t>Work Table 1</t>
  </si>
  <si>
    <t>Work Table 2</t>
  </si>
  <si>
    <t>Work Table 3</t>
  </si>
  <si>
    <t>Work Table 4</t>
  </si>
  <si>
    <t>Can Opener</t>
  </si>
  <si>
    <t>Food Processor</t>
  </si>
  <si>
    <t>Slicer</t>
  </si>
  <si>
    <t>Ref/Freeze</t>
  </si>
  <si>
    <t>Walk-In Freezer (-10F)</t>
  </si>
  <si>
    <t>Blower Coil</t>
  </si>
  <si>
    <t>Unit will consume 11.9 amps for the defrost cycle which runs for a total of 90 minutes per day; otherwise will consume 1.8 amps for the rest of the day.</t>
  </si>
  <si>
    <t>Flip-Flop Controller</t>
  </si>
  <si>
    <t>Walk-In Refrigerator (+35F)</t>
  </si>
  <si>
    <t>Roof</t>
  </si>
  <si>
    <t>Refrigeration Rack System*</t>
  </si>
  <si>
    <t>24/7;  Located on Roof</t>
  </si>
  <si>
    <t>Can Wash</t>
  </si>
  <si>
    <t>Power Wash Station</t>
  </si>
  <si>
    <t>Dishwasher, door type, chemical sanitizing, dump and fill</t>
  </si>
  <si>
    <t>Hall/Office</t>
  </si>
  <si>
    <t>Time Card Recorder W/ Card Racks</t>
  </si>
  <si>
    <t>Servery</t>
  </si>
  <si>
    <t>Mobile Hot Food Counter 1</t>
  </si>
  <si>
    <t>Cabinet: proofing (large)</t>
  </si>
  <si>
    <t>7am-8am; 10am-2pm; School Days</t>
  </si>
  <si>
    <t>Mobile Hot Food Counter 2</t>
  </si>
  <si>
    <t>Mobile Hot Food Counter 3</t>
  </si>
  <si>
    <t>Mobile Salad Counter</t>
  </si>
  <si>
    <t>Water Dispenser</t>
  </si>
  <si>
    <t>Milk Cooler</t>
  </si>
  <si>
    <t>Mobile Cashier Counter 1</t>
  </si>
  <si>
    <t>Mobile Cashier Counter 2</t>
  </si>
  <si>
    <t>Mobile Cashier Counter 3</t>
  </si>
  <si>
    <t>Mobile Cashier Counter 4</t>
  </si>
  <si>
    <t>P.O.S. Unit 1</t>
  </si>
  <si>
    <t>P.O.S. Unit 2</t>
  </si>
  <si>
    <t>P.O.S. Unit 3</t>
  </si>
  <si>
    <t>P.O.S. Unit 4</t>
  </si>
  <si>
    <t>*Accounted for separately in model as HVAC conditioning load, not as separate piece of equipment.</t>
  </si>
  <si>
    <t>Average, weekday</t>
  </si>
  <si>
    <t>Average, WEH</t>
  </si>
  <si>
    <t>Electric</t>
  </si>
  <si>
    <t>Gas</t>
  </si>
  <si>
    <t>Usage Factors</t>
  </si>
  <si>
    <t>Rated Power</t>
  </si>
  <si>
    <t>Amperage</t>
  </si>
  <si>
    <t>Voltage</t>
  </si>
  <si>
    <t>Calculated Power</t>
  </si>
  <si>
    <t>Gas Power  (each unit)</t>
  </si>
  <si>
    <t>ASHRAE 2017 Usage Factor Reference</t>
  </si>
  <si>
    <t xml:space="preserve">Daily </t>
  </si>
  <si>
    <t>Days</t>
  </si>
  <si>
    <t>Yearly</t>
  </si>
  <si>
    <t>Percent of Base</t>
  </si>
  <si>
    <t>Gas Fired Kitchen</t>
  </si>
  <si>
    <t>TILT SKILLET</t>
  </si>
  <si>
    <t>Tilting Skillet/braising pan (gas)</t>
  </si>
  <si>
    <t>STEAMER</t>
  </si>
  <si>
    <t>Steam kettle, large (gas)</t>
  </si>
  <si>
    <t>DBL. DECK. CONVECTION   OVEN x2</t>
  </si>
  <si>
    <t>Oven, combi (gas)</t>
  </si>
  <si>
    <t>COMBI RANGE W/ OVEN</t>
  </si>
  <si>
    <t>Range top, 6 elements on/oven on (gas)</t>
  </si>
  <si>
    <t>All Electric Kitchen</t>
  </si>
  <si>
    <t>Tilting Skillet/braising pan (electric)</t>
  </si>
  <si>
    <t>CONVECTION STEAMER</t>
  </si>
  <si>
    <t>Steam kettle, large (electric)</t>
  </si>
  <si>
    <t>COMBI OVEN</t>
  </si>
  <si>
    <t>Oven, combi (electric)</t>
  </si>
  <si>
    <t>INDUCTION RANGE</t>
  </si>
  <si>
    <t>Range top, 6 elements on/oven on (electric)</t>
  </si>
  <si>
    <t>DBL. DECK. CONVECTION   OVEN</t>
  </si>
  <si>
    <t>INDUCTION RANGE W/ OVEN</t>
  </si>
  <si>
    <t>Site</t>
  </si>
  <si>
    <t>Difference</t>
  </si>
  <si>
    <t>Source</t>
  </si>
  <si>
    <t>Conversion</t>
  </si>
  <si>
    <t>kW to kBtu</t>
  </si>
  <si>
    <t>Site to Source Factor</t>
  </si>
  <si>
    <t>Equivalent Days from Previous model</t>
  </si>
  <si>
    <t>Regular + Summer Days</t>
  </si>
  <si>
    <t>Typical Diversity</t>
  </si>
  <si>
    <t>Lower Diversity</t>
  </si>
  <si>
    <t>Usage Factors from ASHRAE 2017</t>
  </si>
  <si>
    <t>Typical Usage Factor</t>
  </si>
  <si>
    <t>KITCHEN-EQP-WD = (</t>
  </si>
  <si>
    <t>KITCHEN-EQP-WEH = (</t>
  </si>
  <si>
    <t>KIT-SRC-GAS-WD = (</t>
  </si>
  <si>
    <t>KIT-SRC-ELEC-WD = (</t>
  </si>
  <si>
    <t>Total Kitchen/ Servery Electric Equipment Load</t>
  </si>
  <si>
    <t>Kitchen Area</t>
  </si>
  <si>
    <t>Provide Area</t>
  </si>
  <si>
    <t>Servery Area</t>
  </si>
  <si>
    <t>Total Area</t>
  </si>
  <si>
    <t>Kitchen/ Servery Electric Equipment Load per area</t>
  </si>
  <si>
    <t>W/ft2</t>
  </si>
  <si>
    <t>Input to eQuest as Input Power Density (EQUIPMENT-W/AREA)</t>
  </si>
  <si>
    <t>Total Kitchen/ Servery Gas Source Load (BTU)</t>
  </si>
  <si>
    <t>BTU</t>
  </si>
  <si>
    <t>Kitchen Gas Source Load (BTU)</t>
  </si>
  <si>
    <t>Input to eQuest as Input Power (Btu/h) (SOURCE-POWER)</t>
  </si>
  <si>
    <t>Servery Gas Source Load (BTU)</t>
  </si>
  <si>
    <t>Total Kitchen/ Servery Electric Source Load (kW)</t>
  </si>
  <si>
    <t>Total Kitchen/ Servery Electric Source Load (BTU)</t>
  </si>
  <si>
    <t>Total Kitchen Electric Source Load (BTU)</t>
  </si>
  <si>
    <t>Total Servery Electric Source Load (BTU)</t>
  </si>
  <si>
    <t>Hour</t>
  </si>
  <si>
    <t>KIT-EQP-WD = DAY-SCHEDULE</t>
  </si>
  <si>
    <t>KIT-EQP-LO-D = DAY-SCHEDULE</t>
  </si>
  <si>
    <t>KIT-SRC-GAS-WD = DAY-SCHEDULE</t>
  </si>
  <si>
    <t>KIT-SRC-ELEC-WD = DAY SCHEDULE</t>
  </si>
  <si>
    <t>TYPE = FRACTION</t>
  </si>
  <si>
    <t>(1,24)(</t>
  </si>
  <si>
    <t>)</t>
  </si>
  <si>
    <t>..</t>
  </si>
  <si>
    <t>typically only has cold water connections</t>
  </si>
  <si>
    <t>assuming 2 racks/unit</t>
  </si>
  <si>
    <t>Dishwasher racks (if not included in the kitchen equipment tab)</t>
  </si>
  <si>
    <t>Gal/cycle</t>
  </si>
  <si>
    <t>Pot wash sink</t>
  </si>
  <si>
    <t>2019 ASHRAE HVAC applications chapter 51.21 table 10</t>
  </si>
  <si>
    <t>Service sink</t>
  </si>
  <si>
    <t>Pantry sink</t>
  </si>
  <si>
    <t>Circular wash sink</t>
  </si>
  <si>
    <t>Semicircular wash sink</t>
  </si>
  <si>
    <t>Gal/h of water at 140F</t>
  </si>
  <si>
    <t>One compartment food preparation sink</t>
  </si>
  <si>
    <t>GPM</t>
  </si>
  <si>
    <t>Two compartment food preparation sink</t>
  </si>
  <si>
    <t>Mop sink or can wash</t>
  </si>
  <si>
    <t>2019 ASHRAE HVAC applications chapter 51.15 table 6</t>
  </si>
  <si>
    <t>Food service A - full meal restaurants and cafeterias</t>
  </si>
  <si>
    <t>Gal/meal</t>
  </si>
  <si>
    <t>2019 ASHRAE HVAC applications chapter 51.22 table 11</t>
  </si>
  <si>
    <t>DHW correction factor for ASHRAE values that may be outdated</t>
  </si>
  <si>
    <t>raw HW GPM</t>
  </si>
  <si>
    <t>Adjusted meal HW GPM</t>
  </si>
  <si>
    <t>Design</t>
  </si>
  <si>
    <t>Baseline</t>
  </si>
  <si>
    <t>Mop sink</t>
  </si>
  <si>
    <t>GSG Kitchen total</t>
  </si>
  <si>
    <t>Assumed run/h</t>
  </si>
  <si>
    <t>GPM of water at 140F</t>
  </si>
  <si>
    <t>DHW Gal/meal</t>
  </si>
  <si>
    <t>DHW GAL/year</t>
  </si>
  <si>
    <t>DHWSCH</t>
  </si>
  <si>
    <t>Pool water evaporation</t>
  </si>
  <si>
    <t>Pool water temp.</t>
  </si>
  <si>
    <t>Pool width</t>
  </si>
  <si>
    <t>Air temp.</t>
  </si>
  <si>
    <t>Pool length</t>
  </si>
  <si>
    <t>ft^2</t>
  </si>
  <si>
    <t>pw</t>
  </si>
  <si>
    <t>in Hg</t>
  </si>
  <si>
    <t>lbm/h*ft^2</t>
  </si>
  <si>
    <t>ERF60</t>
  </si>
  <si>
    <t>Fa (active hours)</t>
  </si>
  <si>
    <t>lbm/h</t>
  </si>
  <si>
    <t>Fa (inactive hours)</t>
  </si>
  <si>
    <t>ERF50</t>
  </si>
  <si>
    <t>Active hours</t>
  </si>
  <si>
    <t>Equation (2)</t>
  </si>
  <si>
    <t>Btu/lbm</t>
  </si>
  <si>
    <t>Btu/h</t>
  </si>
  <si>
    <t>Pool make-up, active hours</t>
  </si>
  <si>
    <t>Pool make-up, inactive hours</t>
  </si>
  <si>
    <t>Heater supply T</t>
  </si>
  <si>
    <t>Cold water % of total supply</t>
  </si>
  <si>
    <t>Hot water % of total supply</t>
  </si>
  <si>
    <t>Required heater output</t>
  </si>
  <si>
    <t>kBtu/h</t>
  </si>
  <si>
    <t>density of water</t>
  </si>
  <si>
    <t>lbm/gal</t>
  </si>
  <si>
    <t>cold water temperature</t>
  </si>
  <si>
    <t>See 2019 ASHRAE HVAC Applications chapter 6, page 6.5</t>
  </si>
  <si>
    <t>Pool make-up water load on DHW heater</t>
  </si>
  <si>
    <t>Hot water flow, active hours</t>
  </si>
  <si>
    <t>Hot water flow, inactive hours</t>
  </si>
  <si>
    <t>pa (active hours)</t>
  </si>
  <si>
    <t>pa (inactive hours)</t>
  </si>
  <si>
    <t>POOL-VAP-SCH = DAY-SCHEDULE</t>
  </si>
  <si>
    <t>Active</t>
  </si>
  <si>
    <t>Inactive</t>
  </si>
  <si>
    <t>Deviation from ASHRAE</t>
  </si>
  <si>
    <t>Common inputs</t>
  </si>
  <si>
    <t>Active / Inactive</t>
  </si>
  <si>
    <t>ASHRAE method</t>
  </si>
  <si>
    <t>Dectron method</t>
  </si>
  <si>
    <t>Calculations using Dectron pool design guide</t>
  </si>
  <si>
    <t>Parameter name</t>
  </si>
  <si>
    <r>
      <rPr>
        <b/>
        <sz val="10"/>
        <rFont val="Arial"/>
        <family val="2"/>
      </rPr>
      <t xml:space="preserve">Qp: </t>
    </r>
    <r>
      <rPr>
        <sz val="10"/>
        <rFont val="Arial"/>
        <family val="2"/>
        <charset val="238"/>
      </rPr>
      <t>Latent cooling load (active hours)</t>
    </r>
  </si>
  <si>
    <t>wp: Evaporated water (active hours)</t>
  </si>
  <si>
    <t>wp: Evaporated water (inactive hours)</t>
  </si>
  <si>
    <t>Qp: Latent cooling load (inactive hours)</t>
  </si>
  <si>
    <t>AF: Activity factor</t>
  </si>
  <si>
    <t>ER: Evaporation rate, active hours</t>
  </si>
  <si>
    <t>ERF50: Evaporation rate factor, non-active hours</t>
  </si>
  <si>
    <t>ERF60: Evaporation rate factor, active hours</t>
  </si>
  <si>
    <t>ER: Evaporation rate, non-active hours</t>
  </si>
  <si>
    <t>Qp: Latent cooling load, active hours</t>
  </si>
  <si>
    <t>Qp: Latent cooling load, non-active hours</t>
  </si>
  <si>
    <t>hfg: Enthalpy of vaporization</t>
  </si>
  <si>
    <t>Ap: Pool area</t>
  </si>
  <si>
    <t>School Information</t>
  </si>
  <si>
    <t>Address</t>
  </si>
  <si>
    <t>Building Type</t>
  </si>
  <si>
    <t>Number of Stories</t>
  </si>
  <si>
    <t>Submission</t>
  </si>
  <si>
    <t>Template Used</t>
  </si>
  <si>
    <t>Date</t>
  </si>
  <si>
    <t>Billing/Modeling Information</t>
  </si>
  <si>
    <t>Billing Year</t>
  </si>
  <si>
    <t>Weather File</t>
  </si>
  <si>
    <t>JFK 2019 TMY3</t>
  </si>
  <si>
    <t xml:space="preserve"> Existing Electric Bills?</t>
  </si>
  <si>
    <t>Yes</t>
  </si>
  <si>
    <t>Existing Gas Bills?</t>
  </si>
  <si>
    <t>No</t>
  </si>
  <si>
    <t>Existing Steam Bills?</t>
  </si>
  <si>
    <t>Existing Fuel Oil Bills?</t>
  </si>
  <si>
    <t>Other Energy Source Billed?</t>
  </si>
  <si>
    <t>Type?</t>
  </si>
  <si>
    <t>Results</t>
  </si>
  <si>
    <t>Electric Usage</t>
  </si>
  <si>
    <t>CVRMSE</t>
  </si>
  <si>
    <t>NMBE</t>
  </si>
  <si>
    <t>Electric Demand</t>
  </si>
  <si>
    <t>Gas Usage</t>
  </si>
  <si>
    <t>Steam Usage</t>
  </si>
  <si>
    <t>Fuel Oil Usage</t>
  </si>
  <si>
    <t>Complies?</t>
  </si>
  <si>
    <t>Dec</t>
  </si>
  <si>
    <t>Nov</t>
  </si>
  <si>
    <t>Oct</t>
  </si>
  <si>
    <t>Sep</t>
  </si>
  <si>
    <t>Aug</t>
  </si>
  <si>
    <t>Jul</t>
  </si>
  <si>
    <t>Jun</t>
  </si>
  <si>
    <t>May</t>
  </si>
  <si>
    <t>Apr</t>
  </si>
  <si>
    <t>Mar</t>
  </si>
  <si>
    <t>Feb</t>
  </si>
  <si>
    <t>Jan</t>
  </si>
  <si>
    <t>Cost (y-y')</t>
  </si>
  <si>
    <t>KW (y-y')</t>
  </si>
  <si>
    <t>KWh (y-y')</t>
  </si>
  <si>
    <t>Billing Period</t>
  </si>
  <si>
    <t>Month</t>
  </si>
  <si>
    <t>Cost (y-y')^2</t>
  </si>
  <si>
    <t>KW (y-y')^2</t>
  </si>
  <si>
    <t>KWh (y-y')^2</t>
  </si>
  <si>
    <t>CVRMSE (&lt;= 15%)</t>
  </si>
  <si>
    <t>Cost</t>
  </si>
  <si>
    <t>KW Demand</t>
  </si>
  <si>
    <t xml:space="preserve">KWh Usage </t>
  </si>
  <si>
    <t>Error in Modeled Bills</t>
  </si>
  <si>
    <t>TOTAL</t>
  </si>
  <si>
    <t>Electric Cost % Difference</t>
  </si>
  <si>
    <t>Electric Demand % Difference</t>
  </si>
  <si>
    <t>Electric Usage % Difference</t>
  </si>
  <si>
    <t>Electric Cost</t>
  </si>
  <si>
    <t>Electric Demand (kW)</t>
  </si>
  <si>
    <t>Electric Usage (kwh)</t>
  </si>
  <si>
    <t>Existing Building Model Usage</t>
  </si>
  <si>
    <t>Historical Billed Usage</t>
  </si>
  <si>
    <t>kBTU/hr (y-y')</t>
  </si>
  <si>
    <t>Therm (y-y')</t>
  </si>
  <si>
    <t>kBTU/hr (y-y')^2</t>
  </si>
  <si>
    <t>Therm (y-y')^2</t>
  </si>
  <si>
    <t>Gas Demand</t>
  </si>
  <si>
    <t xml:space="preserve">Gas Usage </t>
  </si>
  <si>
    <t>Gas Cost % Difference</t>
  </si>
  <si>
    <t>Gas Demand % Difference</t>
  </si>
  <si>
    <t>Gas Usage % Difference</t>
  </si>
  <si>
    <t>Gas Cost</t>
  </si>
  <si>
    <t>Gas Demand (kBTU/hr)</t>
  </si>
  <si>
    <t>Gas Usage (Therm)</t>
  </si>
  <si>
    <t>Steam Demand</t>
  </si>
  <si>
    <t xml:space="preserve">Steam Usage </t>
  </si>
  <si>
    <t>Error in Modeled Bills (Percentage)</t>
  </si>
  <si>
    <t>Steam Cost % Difference</t>
  </si>
  <si>
    <t>Steam Demand % Difference</t>
  </si>
  <si>
    <t>Steam Usage % Difference</t>
  </si>
  <si>
    <t>Steam Cost</t>
  </si>
  <si>
    <t>Steam Demand (kBTU/hr)</t>
  </si>
  <si>
    <t>Steam Usage (Therm)</t>
  </si>
  <si>
    <t>Fuel Oil Demand</t>
  </si>
  <si>
    <t xml:space="preserve">Fuel Oil Usage </t>
  </si>
  <si>
    <t>Fuel Oil Cost % Difference</t>
  </si>
  <si>
    <t>Fuel Oil Demand % Difference</t>
  </si>
  <si>
    <t>Fuel Oil Usage % Difference</t>
  </si>
  <si>
    <t>Fuel Oil Cost</t>
  </si>
  <si>
    <t>Demand (kBTU/hr)</t>
  </si>
  <si>
    <t>Fuel Oil Usage (mBTU)</t>
  </si>
  <si>
    <t>Energy Cost</t>
  </si>
  <si>
    <t>Energy Demand</t>
  </si>
  <si>
    <t xml:space="preserve">Energy Usage </t>
  </si>
  <si>
    <t>Energy Cost % Difference</t>
  </si>
  <si>
    <t>Energy Demand % Difference</t>
  </si>
  <si>
    <t>Energy Usage % Difference</t>
  </si>
  <si>
    <t>Energy Demand (kBTU/hr)</t>
  </si>
  <si>
    <t>Energy Usage (mBTU)</t>
  </si>
  <si>
    <t>VRF Cooling EIR F EWB / ODB</t>
  </si>
  <si>
    <t>VRF Cooling PLR</t>
  </si>
  <si>
    <t>quadratic</t>
  </si>
  <si>
    <t>This curve is only valid if the Mitsubishi curve "VRF Cooling EIR F EWB / ODB" is used for the COOL-EIR-FT Performance Curve f(t evap leaving, t cond entering)</t>
  </si>
  <si>
    <t>VRVACHP-CoolEIR-fEWB&amp;ODB</t>
  </si>
  <si>
    <t>VRVACHP-Cool-PLR</t>
  </si>
  <si>
    <t>Percentage</t>
  </si>
  <si>
    <t>Applicable for compliance?</t>
  </si>
  <si>
    <t>NMBE (&lt;= 5%, &gt;= -5%)</t>
  </si>
  <si>
    <t>Maximum for compliance</t>
  </si>
  <si>
    <t>W</t>
  </si>
  <si>
    <t>Walk-in lighting - WD</t>
  </si>
  <si>
    <t>Walk-in lighting - WEH</t>
  </si>
  <si>
    <t>Freezer heater - WD</t>
  </si>
  <si>
    <t>Freezer heater - WEH</t>
  </si>
  <si>
    <t>Freezer schedule - WD</t>
  </si>
  <si>
    <t>Freezer schedule - WEH</t>
  </si>
  <si>
    <t>Freezer Blower schedule - WEH</t>
  </si>
  <si>
    <t>Fridge Blower schedule - WEH</t>
  </si>
  <si>
    <t>Refrigeration Rack System -WEH</t>
  </si>
  <si>
    <t>Walk-in refrigeration (direct meter load)</t>
  </si>
  <si>
    <t>Refrigeration Rack System</t>
  </si>
  <si>
    <t>Freezer Blower Coil</t>
  </si>
  <si>
    <t>Refrigerator Blower Coil</t>
  </si>
  <si>
    <t>Walk-in refrigerator and freezer</t>
  </si>
  <si>
    <t>KIT-WALKIN-WD = DAY-SCHEDULE</t>
  </si>
  <si>
    <t>KIT-WALKIN-WEH = DAY SCHEDULE</t>
  </si>
  <si>
    <t>Gym area</t>
  </si>
  <si>
    <t>Area/person</t>
  </si>
  <si>
    <t>Gym population</t>
  </si>
  <si>
    <t>people</t>
  </si>
  <si>
    <t>Class size</t>
  </si>
  <si>
    <t>Defaults: 21 for Medium school template, 15 for Large school template</t>
  </si>
  <si>
    <t>PE class occupancy</t>
  </si>
  <si>
    <t>Override if matching the occupancy in the design documents</t>
  </si>
  <si>
    <t>GYM-OCC-SMR-WD = DAY-SCHEDULE</t>
  </si>
  <si>
    <t>GYM-OCC-WTR-WD = DAY-SCHEDULE</t>
  </si>
  <si>
    <t>GYM-EXT-OCC-WED = DAY-SCHEDULE</t>
  </si>
  <si>
    <t>Gym summer occupancy</t>
  </si>
  <si>
    <t>Gym winter occupancy</t>
  </si>
  <si>
    <t>Extended gym occupancy</t>
  </si>
  <si>
    <t>Class</t>
  </si>
  <si>
    <t>Practice</t>
  </si>
  <si>
    <t>Game</t>
  </si>
  <si>
    <t>Medium school template (PS/ECC) or gyms without bleachers</t>
  </si>
  <si>
    <t>Large school template (IS/HS) or gyms with bleachers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</si>
</sst>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[$-409]mmmm\ d\,\ yyyy;@"/>
    <numFmt numFmtId="166" formatCode="0.000"/>
    <numFmt numFmtId="167" formatCode="0.0"/>
    <numFmt numFmtId="168" formatCode="0.0000"/>
    <numFmt numFmtId="169" formatCode="0.000000"/>
    <numFmt numFmtId="170" formatCode="_-* #,##0.0_-;\-* #,##0.0_-;_-* &quot;-&quot;??_-;_-@_-"/>
    <numFmt numFmtId="171" formatCode="_-* #,##0_-;\-* #,##0_-;_-* &quot;-&quot;??_-;_-@_-"/>
    <numFmt numFmtId="172" formatCode="_(* #,##0_);_(* \(#,##0\);_(* &quot;-&quot;??_);_(@_)"/>
    <numFmt numFmtId="173" formatCode="_-* #,##0.000_-;\-* #,##0.000_-;_-* &quot;-&quot;??_-;_-@_-"/>
    <numFmt numFmtId="174" formatCode="_(* #,##0.000_);_(* \(#,##0.000\);_(* &quot;-&quot;??_);_(@_)"/>
    <numFmt numFmtId="175" formatCode="#,##0;[Red]#,##0"/>
    <numFmt numFmtId="176" formatCode="_-* #,##0.00\ _l_e_i_-;\-* #,##0.00\ _l_e_i_-;_-* &quot;-&quot;??\ _l_e_i_-;_-@_-"/>
    <numFmt numFmtId="177" formatCode="0.0000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A7D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6"/>
      <color theme="1"/>
      <name val="Calibri"/>
      <family val="2"/>
    </font>
    <font>
      <b/>
      <sz val="11"/>
      <color theme="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11"/>
      <color rgb="FFFFFF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</font>
    <font>
      <b/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21">
    <xf numFmtId="0" fontId="0" fillId="0" borderId="0"/>
    <xf numFmtId="9" fontId="1" fillId="0" borderId="0" applyFont="0" applyFill="0" applyBorder="0" applyAlignment="0" applyProtection="0"/>
    <xf numFmtId="165" fontId="2" fillId="0" borderId="0"/>
    <xf numFmtId="0" fontId="5" fillId="0" borderId="5" applyNumberFormat="0" applyFill="0" applyAlignment="0" applyProtection="0"/>
    <xf numFmtId="0" fontId="6" fillId="2" borderId="6" applyNumberFormat="0" applyAlignment="0" applyProtection="0"/>
    <xf numFmtId="0" fontId="7" fillId="3" borderId="7" applyNumberFormat="0" applyAlignment="0" applyProtection="0"/>
    <xf numFmtId="0" fontId="1" fillId="4" borderId="8" applyNumberFormat="0" applyFont="0" applyAlignment="0" applyProtection="0"/>
    <xf numFmtId="0" fontId="8" fillId="0" borderId="9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4" borderId="8" applyNumberFormat="0" applyFont="0" applyAlignment="0" applyProtection="0"/>
    <xf numFmtId="0" fontId="12" fillId="2" borderId="6" applyNumberFormat="0" applyAlignment="0" applyProtection="0"/>
    <xf numFmtId="0" fontId="11" fillId="3" borderId="6" applyNumberFormat="0" applyAlignment="0" applyProtection="0"/>
    <xf numFmtId="0" fontId="13" fillId="3" borderId="7" applyNumberFormat="0" applyAlignment="0" applyProtection="0"/>
    <xf numFmtId="43" fontId="1" fillId="0" borderId="0" applyFont="0" applyFill="0" applyBorder="0" applyAlignment="0" applyProtection="0"/>
    <xf numFmtId="0" fontId="22" fillId="3" borderId="6" applyNumberFormat="0" applyAlignment="0" applyProtection="0"/>
    <xf numFmtId="164" fontId="1" fillId="0" borderId="0" applyFont="0" applyFill="0" applyBorder="0" applyAlignment="0" applyProtection="0"/>
    <xf numFmtId="0" fontId="33" fillId="0" borderId="0"/>
    <xf numFmtId="9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0" fontId="39" fillId="0" borderId="0"/>
  </cellStyleXfs>
  <cellXfs count="535">
    <xf numFmtId="0" fontId="0" fillId="0" borderId="0" xfId="0"/>
    <xf numFmtId="0" fontId="3" fillId="0" borderId="0" xfId="0" applyFont="1"/>
    <xf numFmtId="0" fontId="6" fillId="2" borderId="6" xfId="4" applyAlignment="1">
      <alignment horizontal="right"/>
    </xf>
    <xf numFmtId="0" fontId="6" fillId="2" borderId="6" xfId="4"/>
    <xf numFmtId="167" fontId="7" fillId="3" borderId="7" xfId="5" applyNumberFormat="1"/>
    <xf numFmtId="0" fontId="0" fillId="4" borderId="8" xfId="6" applyFont="1" applyAlignment="1">
      <alignment wrapText="1"/>
    </xf>
    <xf numFmtId="0" fontId="0" fillId="4" borderId="8" xfId="6" applyFont="1"/>
    <xf numFmtId="166" fontId="0" fillId="4" borderId="8" xfId="6" applyNumberFormat="1" applyFont="1" applyAlignment="1">
      <alignment wrapText="1"/>
    </xf>
    <xf numFmtId="0" fontId="5" fillId="0" borderId="5" xfId="3"/>
    <xf numFmtId="0" fontId="0" fillId="4" borderId="8" xfId="6" applyFont="1" applyAlignment="1"/>
    <xf numFmtId="166" fontId="7" fillId="3" borderId="7" xfId="5" applyNumberFormat="1"/>
    <xf numFmtId="0" fontId="0" fillId="4" borderId="8" xfId="6" applyFont="1" applyAlignment="1">
      <alignment horizontal="center" wrapText="1"/>
    </xf>
    <xf numFmtId="166" fontId="6" fillId="2" borderId="6" xfId="4" applyNumberFormat="1"/>
    <xf numFmtId="166" fontId="6" fillId="4" borderId="8" xfId="6" applyNumberFormat="1" applyFont="1"/>
    <xf numFmtId="0" fontId="9" fillId="4" borderId="0" xfId="8" applyFill="1" applyBorder="1" applyAlignment="1">
      <alignment wrapText="1"/>
    </xf>
    <xf numFmtId="0" fontId="9" fillId="0" borderId="0" xfId="8"/>
    <xf numFmtId="0" fontId="10" fillId="0" borderId="0" xfId="9"/>
    <xf numFmtId="11" fontId="10" fillId="0" borderId="0" xfId="9" applyNumberFormat="1"/>
    <xf numFmtId="0" fontId="0" fillId="4" borderId="8" xfId="10" applyFont="1" applyAlignment="1">
      <alignment wrapText="1"/>
    </xf>
    <xf numFmtId="0" fontId="11" fillId="4" borderId="8" xfId="10" applyFont="1" applyAlignment="1">
      <alignment horizontal="center" wrapText="1"/>
    </xf>
    <xf numFmtId="0" fontId="11" fillId="4" borderId="8" xfId="10" applyFont="1" applyAlignment="1">
      <alignment wrapText="1"/>
    </xf>
    <xf numFmtId="0" fontId="10" fillId="0" borderId="0" xfId="9" applyAlignment="1">
      <alignment wrapText="1"/>
    </xf>
    <xf numFmtId="0" fontId="12" fillId="2" borderId="6" xfId="11"/>
    <xf numFmtId="0" fontId="11" fillId="3" borderId="6" xfId="12"/>
    <xf numFmtId="166" fontId="11" fillId="3" borderId="6" xfId="12" applyNumberFormat="1"/>
    <xf numFmtId="11" fontId="11" fillId="3" borderId="6" xfId="12" applyNumberFormat="1"/>
    <xf numFmtId="168" fontId="13" fillId="3" borderId="7" xfId="13" applyNumberFormat="1"/>
    <xf numFmtId="0" fontId="6" fillId="2" borderId="6" xfId="4" applyAlignment="1"/>
    <xf numFmtId="0" fontId="4" fillId="0" borderId="0" xfId="0" applyFont="1"/>
    <xf numFmtId="2" fontId="7" fillId="3" borderId="7" xfId="5" applyNumberFormat="1" applyAlignment="1"/>
    <xf numFmtId="0" fontId="3" fillId="4" borderId="8" xfId="6" applyFont="1" applyAlignment="1"/>
    <xf numFmtId="0" fontId="3" fillId="4" borderId="8" xfId="6" applyFont="1"/>
    <xf numFmtId="0" fontId="8" fillId="0" borderId="9" xfId="7"/>
    <xf numFmtId="0" fontId="7" fillId="3" borderId="7" xfId="5"/>
    <xf numFmtId="0" fontId="14" fillId="0" borderId="0" xfId="9" applyFont="1"/>
    <xf numFmtId="168" fontId="11" fillId="3" borderId="6" xfId="12" applyNumberFormat="1"/>
    <xf numFmtId="2" fontId="11" fillId="3" borderId="6" xfId="12" applyNumberFormat="1"/>
    <xf numFmtId="0" fontId="10" fillId="0" borderId="10" xfId="9" applyBorder="1"/>
    <xf numFmtId="0" fontId="10" fillId="0" borderId="11" xfId="9" applyBorder="1"/>
    <xf numFmtId="0" fontId="10" fillId="0" borderId="12" xfId="9" applyBorder="1"/>
    <xf numFmtId="0" fontId="10" fillId="5" borderId="0" xfId="9" applyFill="1"/>
    <xf numFmtId="166" fontId="15" fillId="5" borderId="0" xfId="9" applyNumberFormat="1" applyFont="1" applyFill="1"/>
    <xf numFmtId="2" fontId="10" fillId="0" borderId="0" xfId="9" applyNumberFormat="1"/>
    <xf numFmtId="169" fontId="7" fillId="3" borderId="7" xfId="5" applyNumberFormat="1"/>
    <xf numFmtId="0" fontId="10" fillId="4" borderId="8" xfId="6" applyFont="1"/>
    <xf numFmtId="0" fontId="10" fillId="4" borderId="8" xfId="10"/>
    <xf numFmtId="0" fontId="17" fillId="7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left" vertical="top"/>
    </xf>
    <xf numFmtId="0" fontId="19" fillId="7" borderId="0" xfId="0" applyFont="1" applyFill="1"/>
    <xf numFmtId="0" fontId="16" fillId="6" borderId="0" xfId="0" applyFont="1" applyFill="1" applyAlignment="1">
      <alignment horizontal="left" vertical="center"/>
    </xf>
    <xf numFmtId="0" fontId="17" fillId="6" borderId="0" xfId="0" applyFont="1" applyFill="1" applyAlignment="1">
      <alignment horizontal="center" vertical="center"/>
    </xf>
    <xf numFmtId="0" fontId="19" fillId="6" borderId="0" xfId="0" applyFont="1" applyFill="1"/>
    <xf numFmtId="1" fontId="17" fillId="7" borderId="0" xfId="0" applyNumberFormat="1" applyFont="1" applyFill="1" applyAlignment="1">
      <alignment horizontal="center" vertical="center"/>
    </xf>
    <xf numFmtId="0" fontId="21" fillId="8" borderId="0" xfId="0" applyFont="1" applyFill="1"/>
    <xf numFmtId="0" fontId="18" fillId="7" borderId="0" xfId="0" applyFont="1" applyFill="1" applyAlignment="1">
      <alignment vertical="center"/>
    </xf>
    <xf numFmtId="172" fontId="0" fillId="0" borderId="0" xfId="0" applyNumberFormat="1"/>
    <xf numFmtId="9" fontId="0" fillId="0" borderId="0" xfId="1" applyFont="1" applyBorder="1"/>
    <xf numFmtId="43" fontId="0" fillId="0" borderId="0" xfId="0" applyNumberFormat="1"/>
    <xf numFmtId="171" fontId="0" fillId="0" borderId="0" xfId="0" applyNumberFormat="1"/>
    <xf numFmtId="173" fontId="0" fillId="10" borderId="0" xfId="0" applyNumberFormat="1" applyFill="1"/>
    <xf numFmtId="0" fontId="21" fillId="11" borderId="0" xfId="0" applyFont="1" applyFill="1"/>
    <xf numFmtId="0" fontId="2" fillId="7" borderId="0" xfId="0" applyFont="1" applyFill="1" applyAlignment="1">
      <alignment vertical="center"/>
    </xf>
    <xf numFmtId="0" fontId="0" fillId="7" borderId="0" xfId="0" applyFill="1"/>
    <xf numFmtId="0" fontId="2" fillId="9" borderId="0" xfId="0" applyFont="1" applyFill="1" applyAlignment="1">
      <alignment vertical="center"/>
    </xf>
    <xf numFmtId="166" fontId="0" fillId="10" borderId="0" xfId="0" applyNumberFormat="1" applyFill="1"/>
    <xf numFmtId="0" fontId="6" fillId="0" borderId="6" xfId="4" applyFill="1"/>
    <xf numFmtId="0" fontId="19" fillId="6" borderId="19" xfId="0" applyFont="1" applyFill="1" applyBorder="1" applyAlignment="1">
      <alignment vertical="center"/>
    </xf>
    <xf numFmtId="0" fontId="19" fillId="6" borderId="19" xfId="0" quotePrefix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left" vertical="center" indent="1"/>
    </xf>
    <xf numFmtId="1" fontId="19" fillId="12" borderId="20" xfId="1" applyNumberFormat="1" applyFont="1" applyFill="1" applyBorder="1" applyAlignment="1" applyProtection="1">
      <alignment vertical="center"/>
      <protection locked="0"/>
    </xf>
    <xf numFmtId="1" fontId="19" fillId="12" borderId="20" xfId="0" applyNumberFormat="1" applyFont="1" applyFill="1" applyBorder="1" applyAlignment="1" applyProtection="1">
      <alignment vertical="center"/>
      <protection locked="0"/>
    </xf>
    <xf numFmtId="0" fontId="19" fillId="7" borderId="21" xfId="0" applyFont="1" applyFill="1" applyBorder="1" applyAlignment="1">
      <alignment horizontal="left" vertical="center" indent="1"/>
    </xf>
    <xf numFmtId="1" fontId="19" fillId="12" borderId="21" xfId="0" applyNumberFormat="1" applyFont="1" applyFill="1" applyBorder="1" applyAlignment="1" applyProtection="1">
      <alignment vertical="center"/>
      <protection locked="0"/>
    </xf>
    <xf numFmtId="0" fontId="19" fillId="6" borderId="22" xfId="0" applyFont="1" applyFill="1" applyBorder="1" applyAlignment="1">
      <alignment horizontal="left" vertical="center" indent="1"/>
    </xf>
    <xf numFmtId="1" fontId="19" fillId="7" borderId="19" xfId="0" applyNumberFormat="1" applyFont="1" applyFill="1" applyBorder="1" applyAlignment="1">
      <alignment vertical="center"/>
    </xf>
    <xf numFmtId="1" fontId="3" fillId="0" borderId="0" xfId="0" applyNumberFormat="1" applyFont="1"/>
    <xf numFmtId="173" fontId="0" fillId="0" borderId="0" xfId="0" applyNumberFormat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0" fillId="0" borderId="23" xfId="0" applyBorder="1" applyAlignment="1">
      <alignment wrapText="1"/>
    </xf>
    <xf numFmtId="0" fontId="24" fillId="0" borderId="24" xfId="0" applyFont="1" applyBorder="1" applyAlignment="1">
      <alignment wrapText="1"/>
    </xf>
    <xf numFmtId="0" fontId="24" fillId="0" borderId="25" xfId="0" applyFont="1" applyBorder="1" applyAlignment="1">
      <alignment wrapText="1"/>
    </xf>
    <xf numFmtId="0" fontId="24" fillId="0" borderId="26" xfId="0" applyFont="1" applyBorder="1" applyAlignment="1">
      <alignment wrapText="1"/>
    </xf>
    <xf numFmtId="0" fontId="24" fillId="0" borderId="25" xfId="0" applyFont="1" applyBorder="1" applyAlignment="1">
      <alignment horizontal="center" wrapText="1"/>
    </xf>
    <xf numFmtId="0" fontId="24" fillId="0" borderId="27" xfId="0" applyFont="1" applyBorder="1" applyAlignment="1">
      <alignment horizontal="center" wrapText="1"/>
    </xf>
    <xf numFmtId="0" fontId="0" fillId="0" borderId="1" xfId="0" applyBorder="1"/>
    <xf numFmtId="0" fontId="0" fillId="0" borderId="28" xfId="0" applyBorder="1"/>
    <xf numFmtId="0" fontId="24" fillId="0" borderId="29" xfId="0" applyFont="1" applyBorder="1"/>
    <xf numFmtId="0" fontId="24" fillId="0" borderId="30" xfId="0" applyFont="1" applyBorder="1"/>
    <xf numFmtId="172" fontId="24" fillId="0" borderId="29" xfId="16" applyNumberFormat="1" applyFont="1" applyBorder="1"/>
    <xf numFmtId="174" fontId="25" fillId="0" borderId="31" xfId="0" applyNumberFormat="1" applyFont="1" applyBorder="1"/>
    <xf numFmtId="0" fontId="24" fillId="0" borderId="30" xfId="0" applyFont="1" applyBorder="1" applyAlignment="1">
      <alignment horizontal="center"/>
    </xf>
    <xf numFmtId="0" fontId="24" fillId="0" borderId="32" xfId="0" applyFont="1" applyBorder="1"/>
    <xf numFmtId="0" fontId="0" fillId="13" borderId="34" xfId="0" applyFill="1" applyBorder="1"/>
    <xf numFmtId="0" fontId="0" fillId="0" borderId="35" xfId="0" applyBorder="1"/>
    <xf numFmtId="0" fontId="0" fillId="13" borderId="35" xfId="0" applyFill="1" applyBorder="1"/>
    <xf numFmtId="0" fontId="0" fillId="14" borderId="35" xfId="0" applyFill="1" applyBorder="1"/>
    <xf numFmtId="0" fontId="0" fillId="15" borderId="35" xfId="0" applyFill="1" applyBorder="1"/>
    <xf numFmtId="0" fontId="24" fillId="0" borderId="35" xfId="0" applyFont="1" applyBorder="1"/>
    <xf numFmtId="2" fontId="0" fillId="0" borderId="36" xfId="0" applyNumberFormat="1" applyBorder="1"/>
    <xf numFmtId="0" fontId="0" fillId="0" borderId="35" xfId="0" applyBorder="1" applyAlignment="1">
      <alignment horizontal="center"/>
    </xf>
    <xf numFmtId="2" fontId="0" fillId="0" borderId="35" xfId="0" applyNumberFormat="1" applyBorder="1"/>
    <xf numFmtId="0" fontId="0" fillId="0" borderId="35" xfId="0" applyBorder="1" applyAlignment="1">
      <alignment horizontal="left"/>
    </xf>
    <xf numFmtId="175" fontId="0" fillId="0" borderId="35" xfId="16" applyNumberFormat="1" applyFont="1" applyBorder="1"/>
    <xf numFmtId="9" fontId="0" fillId="0" borderId="36" xfId="1" applyFont="1" applyBorder="1"/>
    <xf numFmtId="167" fontId="0" fillId="0" borderId="1" xfId="0" applyNumberFormat="1" applyBorder="1"/>
    <xf numFmtId="167" fontId="0" fillId="16" borderId="1" xfId="0" applyNumberFormat="1" applyFill="1" applyBorder="1"/>
    <xf numFmtId="167" fontId="0" fillId="17" borderId="1" xfId="0" applyNumberFormat="1" applyFill="1" applyBorder="1"/>
    <xf numFmtId="0" fontId="0" fillId="13" borderId="38" xfId="0" applyFill="1" applyBorder="1"/>
    <xf numFmtId="0" fontId="0" fillId="13" borderId="1" xfId="0" applyFill="1" applyBorder="1"/>
    <xf numFmtId="0" fontId="0" fillId="14" borderId="1" xfId="0" applyFill="1" applyBorder="1"/>
    <xf numFmtId="0" fontId="0" fillId="15" borderId="1" xfId="0" applyFill="1" applyBorder="1"/>
    <xf numFmtId="172" fontId="24" fillId="0" borderId="1" xfId="16" applyNumberFormat="1" applyFont="1" applyFill="1" applyBorder="1"/>
    <xf numFmtId="2" fontId="0" fillId="0" borderId="39" xfId="0" applyNumberFormat="1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0" fontId="0" fillId="0" borderId="1" xfId="0" applyBorder="1" applyAlignment="1">
      <alignment horizontal="left"/>
    </xf>
    <xf numFmtId="175" fontId="0" fillId="0" borderId="1" xfId="16" applyNumberFormat="1" applyFont="1" applyBorder="1"/>
    <xf numFmtId="9" fontId="0" fillId="0" borderId="39" xfId="1" applyFont="1" applyBorder="1"/>
    <xf numFmtId="2" fontId="0" fillId="6" borderId="39" xfId="0" applyNumberFormat="1" applyFill="1" applyBorder="1"/>
    <xf numFmtId="0" fontId="0" fillId="6" borderId="1" xfId="0" applyFill="1" applyBorder="1"/>
    <xf numFmtId="172" fontId="24" fillId="6" borderId="1" xfId="16" applyNumberFormat="1" applyFont="1" applyFill="1" applyBorder="1"/>
    <xf numFmtId="0" fontId="0" fillId="18" borderId="1" xfId="0" applyFill="1" applyBorder="1"/>
    <xf numFmtId="0" fontId="0" fillId="18" borderId="1" xfId="0" applyFill="1" applyBorder="1" applyAlignment="1">
      <alignment horizontal="center"/>
    </xf>
    <xf numFmtId="2" fontId="0" fillId="18" borderId="1" xfId="0" applyNumberFormat="1" applyFill="1" applyBorder="1"/>
    <xf numFmtId="0" fontId="0" fillId="18" borderId="1" xfId="0" applyFill="1" applyBorder="1" applyAlignment="1">
      <alignment horizontal="left"/>
    </xf>
    <xf numFmtId="175" fontId="0" fillId="18" borderId="1" xfId="16" applyNumberFormat="1" applyFont="1" applyFill="1" applyBorder="1"/>
    <xf numFmtId="9" fontId="0" fillId="18" borderId="39" xfId="1" applyFont="1" applyFill="1" applyBorder="1"/>
    <xf numFmtId="0" fontId="24" fillId="0" borderId="1" xfId="0" applyFont="1" applyBorder="1"/>
    <xf numFmtId="167" fontId="23" fillId="16" borderId="1" xfId="0" applyNumberFormat="1" applyFont="1" applyFill="1" applyBorder="1"/>
    <xf numFmtId="0" fontId="26" fillId="14" borderId="1" xfId="0" applyFont="1" applyFill="1" applyBorder="1"/>
    <xf numFmtId="0" fontId="26" fillId="15" borderId="1" xfId="0" applyFont="1" applyFill="1" applyBorder="1"/>
    <xf numFmtId="2" fontId="26" fillId="0" borderId="39" xfId="0" applyNumberFormat="1" applyFont="1" applyBorder="1"/>
    <xf numFmtId="0" fontId="0" fillId="0" borderId="1" xfId="0" applyBorder="1" applyAlignment="1">
      <alignment horizontal="left" wrapText="1"/>
    </xf>
    <xf numFmtId="0" fontId="0" fillId="13" borderId="41" xfId="0" applyFill="1" applyBorder="1"/>
    <xf numFmtId="0" fontId="0" fillId="0" borderId="42" xfId="0" applyBorder="1"/>
    <xf numFmtId="0" fontId="0" fillId="13" borderId="42" xfId="0" applyFill="1" applyBorder="1"/>
    <xf numFmtId="0" fontId="0" fillId="14" borderId="42" xfId="0" applyFill="1" applyBorder="1"/>
    <xf numFmtId="0" fontId="0" fillId="15" borderId="42" xfId="0" applyFill="1" applyBorder="1"/>
    <xf numFmtId="0" fontId="24" fillId="0" borderId="42" xfId="0" applyFont="1" applyBorder="1"/>
    <xf numFmtId="2" fontId="0" fillId="0" borderId="43" xfId="0" applyNumberFormat="1" applyBorder="1"/>
    <xf numFmtId="0" fontId="0" fillId="0" borderId="42" xfId="0" applyBorder="1" applyAlignment="1">
      <alignment horizontal="center"/>
    </xf>
    <xf numFmtId="2" fontId="0" fillId="0" borderId="42" xfId="0" applyNumberFormat="1" applyBorder="1"/>
    <xf numFmtId="0" fontId="0" fillId="0" borderId="42" xfId="0" applyBorder="1" applyAlignment="1">
      <alignment horizontal="left"/>
    </xf>
    <xf numFmtId="175" fontId="0" fillId="0" borderId="42" xfId="16" applyNumberFormat="1" applyFont="1" applyBorder="1"/>
    <xf numFmtId="9" fontId="0" fillId="0" borderId="43" xfId="1" applyFont="1" applyBorder="1"/>
    <xf numFmtId="0" fontId="0" fillId="17" borderId="1" xfId="0" applyFill="1" applyBorder="1"/>
    <xf numFmtId="0" fontId="0" fillId="16" borderId="1" xfId="0" applyFill="1" applyBorder="1"/>
    <xf numFmtId="0" fontId="0" fillId="0" borderId="23" xfId="0" applyBorder="1" applyAlignment="1">
      <alignment horizontal="center"/>
    </xf>
    <xf numFmtId="0" fontId="0" fillId="13" borderId="24" xfId="0" applyFill="1" applyBorder="1"/>
    <xf numFmtId="0" fontId="0" fillId="6" borderId="24" xfId="0" applyFill="1" applyBorder="1"/>
    <xf numFmtId="0" fontId="0" fillId="6" borderId="25" xfId="0" applyFill="1" applyBorder="1"/>
    <xf numFmtId="0" fontId="24" fillId="6" borderId="25" xfId="0" applyFont="1" applyFill="1" applyBorder="1"/>
    <xf numFmtId="172" fontId="24" fillId="6" borderId="25" xfId="16" applyNumberFormat="1" applyFont="1" applyFill="1" applyBorder="1"/>
    <xf numFmtId="2" fontId="0" fillId="6" borderId="26" xfId="0" applyNumberFormat="1" applyFill="1" applyBorder="1"/>
    <xf numFmtId="0" fontId="0" fillId="0" borderId="25" xfId="0" applyBorder="1"/>
    <xf numFmtId="0" fontId="0" fillId="0" borderId="25" xfId="0" applyBorder="1" applyAlignment="1">
      <alignment horizontal="center"/>
    </xf>
    <xf numFmtId="2" fontId="0" fillId="0" borderId="25" xfId="0" applyNumberFormat="1" applyBorder="1"/>
    <xf numFmtId="0" fontId="0" fillId="0" borderId="25" xfId="0" applyBorder="1" applyAlignment="1">
      <alignment horizontal="left"/>
    </xf>
    <xf numFmtId="175" fontId="0" fillId="0" borderId="25" xfId="16" applyNumberFormat="1" applyFont="1" applyBorder="1"/>
    <xf numFmtId="9" fontId="0" fillId="0" borderId="26" xfId="1" applyFont="1" applyBorder="1"/>
    <xf numFmtId="0" fontId="0" fillId="0" borderId="24" xfId="0" applyBorder="1"/>
    <xf numFmtId="0" fontId="0" fillId="14" borderId="25" xfId="0" applyFill="1" applyBorder="1"/>
    <xf numFmtId="0" fontId="0" fillId="15" borderId="25" xfId="0" applyFill="1" applyBorder="1"/>
    <xf numFmtId="172" fontId="24" fillId="0" borderId="25" xfId="16" applyNumberFormat="1" applyFont="1" applyBorder="1"/>
    <xf numFmtId="2" fontId="0" fillId="0" borderId="26" xfId="0" applyNumberFormat="1" applyBorder="1"/>
    <xf numFmtId="0" fontId="23" fillId="0" borderId="25" xfId="0" applyFont="1" applyBorder="1" applyAlignment="1">
      <alignment horizontal="left"/>
    </xf>
    <xf numFmtId="168" fontId="0" fillId="16" borderId="1" xfId="0" applyNumberFormat="1" applyFill="1" applyBorder="1"/>
    <xf numFmtId="0" fontId="0" fillId="0" borderId="23" xfId="0" applyBorder="1" applyAlignment="1">
      <alignment horizontal="center" vertical="center"/>
    </xf>
    <xf numFmtId="172" fontId="24" fillId="0" borderId="35" xfId="16" applyNumberFormat="1" applyFont="1" applyFill="1" applyBorder="1" applyAlignment="1">
      <alignment horizontal="center"/>
    </xf>
    <xf numFmtId="0" fontId="0" fillId="7" borderId="1" xfId="0" applyFill="1" applyBorder="1"/>
    <xf numFmtId="2" fontId="0" fillId="7" borderId="39" xfId="0" applyNumberFormat="1" applyFill="1" applyBorder="1"/>
    <xf numFmtId="2" fontId="0" fillId="16" borderId="1" xfId="0" applyNumberFormat="1" applyFill="1" applyBorder="1"/>
    <xf numFmtId="0" fontId="26" fillId="6" borderId="1" xfId="0" applyFont="1" applyFill="1" applyBorder="1"/>
    <xf numFmtId="0" fontId="0" fillId="6" borderId="1" xfId="0" applyFill="1" applyBorder="1" applyAlignment="1">
      <alignment horizontal="center"/>
    </xf>
    <xf numFmtId="2" fontId="0" fillId="6" borderId="1" xfId="0" applyNumberFormat="1" applyFill="1" applyBorder="1"/>
    <xf numFmtId="0" fontId="0" fillId="6" borderId="1" xfId="0" applyFill="1" applyBorder="1" applyAlignment="1">
      <alignment horizontal="left"/>
    </xf>
    <xf numFmtId="175" fontId="0" fillId="6" borderId="1" xfId="16" applyNumberFormat="1" applyFont="1" applyFill="1" applyBorder="1"/>
    <xf numFmtId="9" fontId="0" fillId="6" borderId="39" xfId="1" applyFont="1" applyFill="1" applyBorder="1"/>
    <xf numFmtId="0" fontId="26" fillId="13" borderId="1" xfId="0" applyFont="1" applyFill="1" applyBorder="1"/>
    <xf numFmtId="0" fontId="23" fillId="13" borderId="1" xfId="0" applyFont="1" applyFill="1" applyBorder="1"/>
    <xf numFmtId="0" fontId="23" fillId="6" borderId="1" xfId="0" applyFont="1" applyFill="1" applyBorder="1"/>
    <xf numFmtId="0" fontId="0" fillId="6" borderId="42" xfId="0" applyFill="1" applyBorder="1"/>
    <xf numFmtId="172" fontId="24" fillId="6" borderId="42" xfId="16" applyNumberFormat="1" applyFont="1" applyFill="1" applyBorder="1"/>
    <xf numFmtId="2" fontId="0" fillId="6" borderId="43" xfId="0" applyNumberFormat="1" applyFill="1" applyBorder="1"/>
    <xf numFmtId="166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/>
    <xf numFmtId="0" fontId="24" fillId="0" borderId="12" xfId="0" applyFont="1" applyBorder="1" applyAlignment="1">
      <alignment horizontal="center"/>
    </xf>
    <xf numFmtId="0" fontId="0" fillId="0" borderId="34" xfId="0" applyBorder="1" applyAlignment="1">
      <alignment vertical="center"/>
    </xf>
    <xf numFmtId="0" fontId="24" fillId="0" borderId="35" xfId="0" applyFont="1" applyBorder="1" applyAlignment="1">
      <alignment wrapText="1"/>
    </xf>
    <xf numFmtId="0" fontId="24" fillId="0" borderId="36" xfId="0" applyFont="1" applyBorder="1" applyAlignment="1">
      <alignment wrapText="1"/>
    </xf>
    <xf numFmtId="0" fontId="24" fillId="0" borderId="23" xfId="0" applyFont="1" applyBorder="1" applyAlignment="1">
      <alignment wrapText="1"/>
    </xf>
    <xf numFmtId="0" fontId="24" fillId="0" borderId="45" xfId="0" applyFont="1" applyBorder="1" applyAlignment="1">
      <alignment wrapText="1"/>
    </xf>
    <xf numFmtId="0" fontId="24" fillId="0" borderId="26" xfId="0" applyFont="1" applyBorder="1" applyAlignment="1">
      <alignment horizontal="center" wrapText="1"/>
    </xf>
    <xf numFmtId="12" fontId="0" fillId="0" borderId="36" xfId="0" applyNumberFormat="1" applyBorder="1"/>
    <xf numFmtId="0" fontId="0" fillId="6" borderId="46" xfId="0" applyFill="1" applyBorder="1"/>
    <xf numFmtId="0" fontId="0" fillId="6" borderId="35" xfId="0" applyFill="1" applyBorder="1"/>
    <xf numFmtId="0" fontId="0" fillId="6" borderId="36" xfId="0" applyFill="1" applyBorder="1"/>
    <xf numFmtId="0" fontId="0" fillId="14" borderId="47" xfId="0" applyFill="1" applyBorder="1"/>
    <xf numFmtId="0" fontId="0" fillId="0" borderId="34" xfId="0" applyBorder="1"/>
    <xf numFmtId="0" fontId="0" fillId="0" borderId="36" xfId="0" applyBorder="1"/>
    <xf numFmtId="2" fontId="0" fillId="0" borderId="46" xfId="0" applyNumberFormat="1" applyBorder="1"/>
    <xf numFmtId="12" fontId="0" fillId="0" borderId="35" xfId="0" applyNumberFormat="1" applyBorder="1"/>
    <xf numFmtId="172" fontId="0" fillId="0" borderId="36" xfId="16" applyNumberFormat="1" applyFont="1" applyBorder="1"/>
    <xf numFmtId="175" fontId="0" fillId="0" borderId="36" xfId="16" applyNumberFormat="1" applyFont="1" applyBorder="1"/>
    <xf numFmtId="12" fontId="0" fillId="0" borderId="39" xfId="0" applyNumberFormat="1" applyBorder="1"/>
    <xf numFmtId="0" fontId="0" fillId="6" borderId="3" xfId="0" applyFill="1" applyBorder="1"/>
    <xf numFmtId="0" fontId="0" fillId="6" borderId="39" xfId="0" applyFill="1" applyBorder="1"/>
    <xf numFmtId="0" fontId="0" fillId="14" borderId="48" xfId="0" applyFill="1" applyBorder="1"/>
    <xf numFmtId="0" fontId="0" fillId="0" borderId="38" xfId="0" applyBorder="1"/>
    <xf numFmtId="0" fontId="0" fillId="0" borderId="39" xfId="0" applyBorder="1"/>
    <xf numFmtId="2" fontId="0" fillId="0" borderId="3" xfId="0" applyNumberFormat="1" applyBorder="1"/>
    <xf numFmtId="12" fontId="0" fillId="0" borderId="1" xfId="0" applyNumberFormat="1" applyBorder="1"/>
    <xf numFmtId="172" fontId="0" fillId="0" borderId="39" xfId="16" applyNumberFormat="1" applyFont="1" applyBorder="1"/>
    <xf numFmtId="175" fontId="0" fillId="0" borderId="0" xfId="0" applyNumberFormat="1"/>
    <xf numFmtId="175" fontId="0" fillId="0" borderId="39" xfId="16" applyNumberFormat="1" applyFont="1" applyBorder="1"/>
    <xf numFmtId="12" fontId="0" fillId="0" borderId="43" xfId="0" applyNumberFormat="1" applyBorder="1"/>
    <xf numFmtId="0" fontId="0" fillId="6" borderId="49" xfId="0" applyFill="1" applyBorder="1"/>
    <xf numFmtId="0" fontId="0" fillId="6" borderId="43" xfId="0" applyFill="1" applyBorder="1"/>
    <xf numFmtId="0" fontId="0" fillId="14" borderId="50" xfId="0" applyFill="1" applyBorder="1"/>
    <xf numFmtId="0" fontId="0" fillId="0" borderId="41" xfId="0" applyBorder="1"/>
    <xf numFmtId="0" fontId="0" fillId="0" borderId="43" xfId="0" applyBorder="1"/>
    <xf numFmtId="2" fontId="0" fillId="0" borderId="49" xfId="0" applyNumberFormat="1" applyBorder="1"/>
    <xf numFmtId="12" fontId="0" fillId="0" borderId="42" xfId="0" applyNumberFormat="1" applyBorder="1"/>
    <xf numFmtId="172" fontId="0" fillId="0" borderId="43" xfId="16" applyNumberFormat="1" applyFont="1" applyBorder="1"/>
    <xf numFmtId="175" fontId="0" fillId="0" borderId="43" xfId="16" applyNumberFormat="1" applyFont="1" applyBorder="1"/>
    <xf numFmtId="0" fontId="0" fillId="0" borderId="51" xfId="0" applyBorder="1" applyAlignment="1">
      <alignment vertical="center"/>
    </xf>
    <xf numFmtId="0" fontId="0" fillId="0" borderId="52" xfId="0" applyBorder="1"/>
    <xf numFmtId="167" fontId="0" fillId="0" borderId="52" xfId="0" applyNumberFormat="1" applyBorder="1"/>
    <xf numFmtId="0" fontId="0" fillId="0" borderId="53" xfId="0" applyBorder="1"/>
    <xf numFmtId="0" fontId="0" fillId="0" borderId="52" xfId="0" applyBorder="1" applyAlignment="1">
      <alignment horizontal="center"/>
    </xf>
    <xf numFmtId="172" fontId="0" fillId="0" borderId="53" xfId="16" applyNumberFormat="1" applyFont="1" applyBorder="1"/>
    <xf numFmtId="9" fontId="0" fillId="0" borderId="31" xfId="1" applyFont="1" applyBorder="1"/>
    <xf numFmtId="0" fontId="0" fillId="0" borderId="0" xfId="0" applyAlignment="1">
      <alignment vertical="center"/>
    </xf>
    <xf numFmtId="172" fontId="0" fillId="0" borderId="0" xfId="16" applyNumberFormat="1" applyFont="1" applyBorder="1"/>
    <xf numFmtId="0" fontId="0" fillId="13" borderId="36" xfId="0" applyFill="1" applyBorder="1"/>
    <xf numFmtId="0" fontId="0" fillId="14" borderId="46" xfId="0" applyFill="1" applyBorder="1"/>
    <xf numFmtId="167" fontId="0" fillId="0" borderId="35" xfId="0" applyNumberFormat="1" applyBorder="1"/>
    <xf numFmtId="167" fontId="0" fillId="0" borderId="36" xfId="0" applyNumberFormat="1" applyBorder="1"/>
    <xf numFmtId="0" fontId="0" fillId="18" borderId="47" xfId="0" applyFill="1" applyBorder="1"/>
    <xf numFmtId="0" fontId="0" fillId="13" borderId="39" xfId="0" applyFill="1" applyBorder="1"/>
    <xf numFmtId="0" fontId="0" fillId="14" borderId="3" xfId="0" applyFill="1" applyBorder="1"/>
    <xf numFmtId="167" fontId="0" fillId="0" borderId="39" xfId="0" applyNumberFormat="1" applyBorder="1"/>
    <xf numFmtId="0" fontId="0" fillId="18" borderId="48" xfId="0" applyFill="1" applyBorder="1"/>
    <xf numFmtId="0" fontId="0" fillId="13" borderId="43" xfId="0" applyFill="1" applyBorder="1"/>
    <xf numFmtId="0" fontId="0" fillId="14" borderId="49" xfId="0" applyFill="1" applyBorder="1"/>
    <xf numFmtId="167" fontId="0" fillId="0" borderId="42" xfId="0" applyNumberFormat="1" applyBorder="1"/>
    <xf numFmtId="167" fontId="0" fillId="0" borderId="43" xfId="0" applyNumberFormat="1" applyBorder="1"/>
    <xf numFmtId="0" fontId="0" fillId="18" borderId="50" xfId="0" applyFill="1" applyBorder="1"/>
    <xf numFmtId="172" fontId="0" fillId="0" borderId="0" xfId="1" applyNumberFormat="1" applyFont="1"/>
    <xf numFmtId="9" fontId="0" fillId="0" borderId="0" xfId="1" applyFont="1"/>
    <xf numFmtId="0" fontId="0" fillId="0" borderId="44" xfId="0" applyBorder="1" applyAlignment="1">
      <alignment horizontal="left"/>
    </xf>
    <xf numFmtId="0" fontId="0" fillId="5" borderId="54" xfId="0" applyFill="1" applyBorder="1" applyAlignment="1">
      <alignment horizontal="right"/>
    </xf>
    <xf numFmtId="0" fontId="0" fillId="0" borderId="37" xfId="0" applyBorder="1" applyAlignment="1">
      <alignment horizontal="left"/>
    </xf>
    <xf numFmtId="0" fontId="0" fillId="5" borderId="48" xfId="0" applyFill="1" applyBorder="1" applyAlignment="1">
      <alignment horizontal="right"/>
    </xf>
    <xf numFmtId="0" fontId="0" fillId="0" borderId="33" xfId="0" applyBorder="1" applyAlignment="1">
      <alignment horizontal="left"/>
    </xf>
    <xf numFmtId="0" fontId="0" fillId="5" borderId="47" xfId="0" applyFill="1" applyBorder="1" applyAlignment="1">
      <alignment horizontal="right"/>
    </xf>
    <xf numFmtId="0" fontId="0" fillId="0" borderId="40" xfId="0" applyBorder="1" applyAlignment="1">
      <alignment horizontal="left"/>
    </xf>
    <xf numFmtId="0" fontId="0" fillId="5" borderId="50" xfId="0" applyFill="1" applyBorder="1" applyAlignment="1">
      <alignment horizontal="right"/>
    </xf>
    <xf numFmtId="0" fontId="0" fillId="0" borderId="44" xfId="0" applyBorder="1"/>
    <xf numFmtId="0" fontId="0" fillId="0" borderId="37" xfId="0" applyBorder="1"/>
    <xf numFmtId="0" fontId="0" fillId="0" borderId="55" xfId="0" applyBorder="1"/>
    <xf numFmtId="0" fontId="0" fillId="5" borderId="56" xfId="0" applyFill="1" applyBorder="1" applyAlignment="1">
      <alignment horizontal="right"/>
    </xf>
    <xf numFmtId="0" fontId="22" fillId="3" borderId="6" xfId="15"/>
    <xf numFmtId="167" fontId="22" fillId="3" borderId="6" xfId="15" applyNumberFormat="1"/>
    <xf numFmtId="3" fontId="22" fillId="3" borderId="6" xfId="15" applyNumberFormat="1"/>
    <xf numFmtId="1" fontId="22" fillId="3" borderId="6" xfId="15" applyNumberFormat="1"/>
    <xf numFmtId="172" fontId="24" fillId="0" borderId="35" xfId="16" applyNumberFormat="1" applyFont="1" applyFill="1" applyBorder="1"/>
    <xf numFmtId="172" fontId="24" fillId="7" borderId="1" xfId="16" applyNumberFormat="1" applyFont="1" applyFill="1" applyBorder="1"/>
    <xf numFmtId="1" fontId="3" fillId="0" borderId="0" xfId="0" applyNumberFormat="1" applyFont="1" applyAlignment="1">
      <alignment horizontal="right"/>
    </xf>
    <xf numFmtId="0" fontId="0" fillId="13" borderId="57" xfId="0" applyFill="1" applyBorder="1"/>
    <xf numFmtId="0" fontId="0" fillId="0" borderId="58" xfId="0" applyBorder="1"/>
    <xf numFmtId="0" fontId="0" fillId="13" borderId="58" xfId="0" applyFill="1" applyBorder="1"/>
    <xf numFmtId="0" fontId="0" fillId="14" borderId="58" xfId="0" applyFill="1" applyBorder="1"/>
    <xf numFmtId="0" fontId="0" fillId="15" borderId="58" xfId="0" applyFill="1" applyBorder="1"/>
    <xf numFmtId="0" fontId="24" fillId="0" borderId="58" xfId="0" applyFont="1" applyBorder="1"/>
    <xf numFmtId="2" fontId="0" fillId="0" borderId="59" xfId="0" applyNumberFormat="1" applyBorder="1"/>
    <xf numFmtId="0" fontId="0" fillId="0" borderId="58" xfId="0" applyBorder="1" applyAlignment="1">
      <alignment horizontal="center"/>
    </xf>
    <xf numFmtId="2" fontId="0" fillId="0" borderId="58" xfId="0" applyNumberFormat="1" applyBorder="1"/>
    <xf numFmtId="0" fontId="0" fillId="0" borderId="58" xfId="0" applyBorder="1" applyAlignment="1">
      <alignment horizontal="left"/>
    </xf>
    <xf numFmtId="175" fontId="0" fillId="0" borderId="58" xfId="16" applyNumberFormat="1" applyFont="1" applyBorder="1"/>
    <xf numFmtId="9" fontId="0" fillId="0" borderId="59" xfId="1" applyFont="1" applyBorder="1"/>
    <xf numFmtId="166" fontId="3" fillId="0" borderId="0" xfId="0" applyNumberFormat="1" applyFont="1"/>
    <xf numFmtId="2" fontId="3" fillId="0" borderId="0" xfId="0" applyNumberFormat="1" applyFont="1"/>
    <xf numFmtId="43" fontId="3" fillId="10" borderId="0" xfId="0" applyNumberFormat="1" applyFont="1" applyFill="1"/>
    <xf numFmtId="0" fontId="3" fillId="4" borderId="8" xfId="6" applyFont="1" applyAlignment="1">
      <alignment horizontal="center"/>
    </xf>
    <xf numFmtId="0" fontId="33" fillId="0" borderId="0" xfId="17"/>
    <xf numFmtId="0" fontId="30" fillId="0" borderId="0" xfId="17" applyFont="1"/>
    <xf numFmtId="0" fontId="33" fillId="21" borderId="0" xfId="17" applyFill="1"/>
    <xf numFmtId="1" fontId="33" fillId="0" borderId="0" xfId="17" applyNumberFormat="1"/>
    <xf numFmtId="0" fontId="30" fillId="20" borderId="0" xfId="17" applyFont="1" applyFill="1"/>
    <xf numFmtId="1" fontId="33" fillId="10" borderId="0" xfId="17" applyNumberFormat="1" applyFill="1"/>
    <xf numFmtId="9" fontId="0" fillId="0" borderId="0" xfId="18" applyFont="1"/>
    <xf numFmtId="166" fontId="33" fillId="0" borderId="0" xfId="17" applyNumberFormat="1"/>
    <xf numFmtId="9" fontId="33" fillId="0" borderId="0" xfId="17" applyNumberFormat="1"/>
    <xf numFmtId="0" fontId="33" fillId="22" borderId="0" xfId="17" applyFill="1"/>
    <xf numFmtId="166" fontId="24" fillId="3" borderId="6" xfId="15" applyNumberFormat="1" applyFont="1"/>
    <xf numFmtId="9" fontId="33" fillId="0" borderId="0" xfId="1" applyFont="1"/>
    <xf numFmtId="0" fontId="2" fillId="0" borderId="0" xfId="17" applyFont="1"/>
    <xf numFmtId="0" fontId="31" fillId="19" borderId="0" xfId="17" applyFont="1" applyFill="1"/>
    <xf numFmtId="0" fontId="16" fillId="20" borderId="0" xfId="17" applyFont="1" applyFill="1"/>
    <xf numFmtId="0" fontId="33" fillId="20" borderId="0" xfId="17" applyFill="1"/>
    <xf numFmtId="0" fontId="16" fillId="22" borderId="0" xfId="17" applyFont="1" applyFill="1"/>
    <xf numFmtId="166" fontId="33" fillId="10" borderId="0" xfId="17" applyNumberFormat="1" applyFill="1"/>
    <xf numFmtId="0" fontId="0" fillId="12" borderId="8" xfId="6" applyFont="1" applyFill="1"/>
    <xf numFmtId="0" fontId="2" fillId="12" borderId="0" xfId="17" applyFont="1" applyFill="1" applyAlignment="1">
      <alignment wrapText="1"/>
    </xf>
    <xf numFmtId="0" fontId="0" fillId="12" borderId="8" xfId="6" applyFont="1" applyFill="1" applyAlignment="1">
      <alignment wrapText="1"/>
    </xf>
    <xf numFmtId="0" fontId="33" fillId="12" borderId="0" xfId="17" applyFill="1"/>
    <xf numFmtId="0" fontId="2" fillId="20" borderId="0" xfId="17" applyFont="1" applyFill="1"/>
    <xf numFmtId="0" fontId="35" fillId="0" borderId="44" xfId="0" applyFont="1" applyBorder="1" applyAlignment="1">
      <alignment horizontal="right" vertical="center"/>
    </xf>
    <xf numFmtId="0" fontId="35" fillId="0" borderId="40" xfId="0" applyFont="1" applyBorder="1" applyAlignment="1">
      <alignment horizontal="right" vertical="center"/>
    </xf>
    <xf numFmtId="0" fontId="35" fillId="0" borderId="37" xfId="0" applyFont="1" applyBorder="1" applyAlignment="1">
      <alignment horizontal="right" vertical="center"/>
    </xf>
    <xf numFmtId="9" fontId="35" fillId="13" borderId="64" xfId="1" applyFont="1" applyFill="1" applyBorder="1" applyAlignment="1"/>
    <xf numFmtId="9" fontId="35" fillId="13" borderId="43" xfId="1" applyFont="1" applyFill="1" applyBorder="1" applyAlignment="1"/>
    <xf numFmtId="0" fontId="0" fillId="0" borderId="40" xfId="0" applyBorder="1"/>
    <xf numFmtId="10" fontId="36" fillId="0" borderId="25" xfId="1" applyNumberFormat="1" applyFont="1" applyFill="1" applyBorder="1" applyAlignment="1">
      <alignment wrapText="1"/>
    </xf>
    <xf numFmtId="0" fontId="36" fillId="0" borderId="25" xfId="0" applyFont="1" applyBorder="1"/>
    <xf numFmtId="0" fontId="36" fillId="0" borderId="45" xfId="0" applyFont="1" applyBorder="1" applyAlignment="1">
      <alignment horizontal="right"/>
    </xf>
    <xf numFmtId="3" fontId="26" fillId="0" borderId="58" xfId="0" applyNumberFormat="1" applyFont="1" applyBorder="1" applyAlignment="1">
      <alignment wrapText="1"/>
    </xf>
    <xf numFmtId="0" fontId="26" fillId="0" borderId="58" xfId="0" applyFont="1" applyBorder="1"/>
    <xf numFmtId="14" fontId="36" fillId="0" borderId="57" xfId="0" applyNumberFormat="1" applyFont="1" applyBorder="1"/>
    <xf numFmtId="14" fontId="36" fillId="0" borderId="41" xfId="0" applyNumberFormat="1" applyFont="1" applyBorder="1"/>
    <xf numFmtId="14" fontId="36" fillId="0" borderId="38" xfId="0" applyNumberFormat="1" applyFont="1" applyBorder="1"/>
    <xf numFmtId="0" fontId="36" fillId="0" borderId="67" xfId="0" applyFont="1" applyBorder="1" applyAlignment="1">
      <alignment horizontal="center" wrapText="1"/>
    </xf>
    <xf numFmtId="0" fontId="36" fillId="0" borderId="68" xfId="0" applyFont="1" applyBorder="1" applyAlignment="1">
      <alignment horizontal="center" wrapText="1"/>
    </xf>
    <xf numFmtId="0" fontId="36" fillId="0" borderId="69" xfId="0" applyFont="1" applyBorder="1" applyAlignment="1">
      <alignment horizontal="center" wrapText="1"/>
    </xf>
    <xf numFmtId="10" fontId="26" fillId="0" borderId="58" xfId="0" applyNumberFormat="1" applyFont="1" applyBorder="1" applyAlignment="1">
      <alignment wrapText="1"/>
    </xf>
    <xf numFmtId="0" fontId="36" fillId="0" borderId="70" xfId="0" applyFont="1" applyBorder="1"/>
    <xf numFmtId="0" fontId="36" fillId="0" borderId="70" xfId="0" applyFont="1" applyBorder="1" applyAlignment="1">
      <alignment horizontal="right"/>
    </xf>
    <xf numFmtId="10" fontId="26" fillId="0" borderId="71" xfId="0" applyNumberFormat="1" applyFont="1" applyBorder="1" applyAlignment="1">
      <alignment wrapText="1"/>
    </xf>
    <xf numFmtId="0" fontId="26" fillId="0" borderId="72" xfId="0" applyFont="1" applyBorder="1"/>
    <xf numFmtId="14" fontId="36" fillId="0" borderId="72" xfId="0" applyNumberFormat="1" applyFont="1" applyBorder="1"/>
    <xf numFmtId="3" fontId="26" fillId="0" borderId="71" xfId="0" applyNumberFormat="1" applyFont="1" applyBorder="1" applyAlignment="1">
      <alignment wrapText="1"/>
    </xf>
    <xf numFmtId="10" fontId="26" fillId="0" borderId="72" xfId="0" applyNumberFormat="1" applyFont="1" applyBorder="1" applyAlignment="1">
      <alignment wrapText="1"/>
    </xf>
    <xf numFmtId="3" fontId="26" fillId="0" borderId="72" xfId="0" applyNumberFormat="1" applyFont="1" applyBorder="1" applyAlignment="1">
      <alignment wrapText="1"/>
    </xf>
    <xf numFmtId="0" fontId="26" fillId="0" borderId="73" xfId="0" applyFont="1" applyBorder="1" applyAlignment="1">
      <alignment horizontal="center" wrapText="1"/>
    </xf>
    <xf numFmtId="0" fontId="26" fillId="0" borderId="73" xfId="0" applyFont="1" applyBorder="1"/>
    <xf numFmtId="0" fontId="36" fillId="0" borderId="73" xfId="0" applyFont="1" applyBorder="1" applyAlignment="1">
      <alignment horizontal="center" wrapText="1"/>
    </xf>
    <xf numFmtId="172" fontId="37" fillId="24" borderId="1" xfId="16" applyNumberFormat="1" applyFont="1" applyFill="1" applyBorder="1" applyAlignment="1" applyProtection="1">
      <alignment vertical="center" wrapText="1"/>
      <protection locked="0"/>
    </xf>
    <xf numFmtId="0" fontId="38" fillId="6" borderId="2" xfId="0" applyFont="1" applyFill="1" applyBorder="1" applyAlignment="1">
      <alignment vertical="center" wrapText="1"/>
    </xf>
    <xf numFmtId="172" fontId="37" fillId="0" borderId="0" xfId="16" applyNumberFormat="1" applyFont="1" applyFill="1" applyBorder="1" applyAlignment="1" applyProtection="1">
      <alignment vertical="center" wrapText="1"/>
      <protection hidden="1"/>
    </xf>
    <xf numFmtId="172" fontId="37" fillId="0" borderId="1" xfId="16" applyNumberFormat="1" applyFont="1" applyBorder="1" applyAlignment="1" applyProtection="1">
      <alignment vertical="center" wrapText="1"/>
      <protection locked="0"/>
    </xf>
    <xf numFmtId="172" fontId="37" fillId="0" borderId="0" xfId="16" applyNumberFormat="1" applyFont="1" applyFill="1" applyBorder="1" applyAlignment="1" applyProtection="1">
      <alignment vertical="center" wrapText="1"/>
      <protection locked="0"/>
    </xf>
    <xf numFmtId="0" fontId="37" fillId="6" borderId="2" xfId="0" applyFont="1" applyFill="1" applyBorder="1" applyAlignment="1">
      <alignment vertical="center" wrapText="1"/>
    </xf>
    <xf numFmtId="0" fontId="37" fillId="6" borderId="1" xfId="0" applyFont="1" applyFill="1" applyBorder="1" applyAlignment="1">
      <alignment vertical="center" wrapText="1"/>
    </xf>
    <xf numFmtId="0" fontId="37" fillId="0" borderId="0" xfId="0" applyFont="1" applyAlignment="1">
      <alignment vertical="center" wrapText="1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26" fillId="0" borderId="73" xfId="0" applyFont="1" applyBorder="1" applyAlignment="1">
      <alignment wrapText="1"/>
    </xf>
    <xf numFmtId="166" fontId="10" fillId="0" borderId="0" xfId="9" applyNumberFormat="1"/>
    <xf numFmtId="169" fontId="10" fillId="0" borderId="0" xfId="9" applyNumberFormat="1"/>
    <xf numFmtId="0" fontId="34" fillId="0" borderId="75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10" fontId="35" fillId="23" borderId="1" xfId="0" applyNumberFormat="1" applyFont="1" applyFill="1" applyBorder="1"/>
    <xf numFmtId="10" fontId="35" fillId="23" borderId="1" xfId="1" applyNumberFormat="1" applyFont="1" applyFill="1" applyBorder="1" applyAlignment="1">
      <alignment horizontal="right"/>
    </xf>
    <xf numFmtId="167" fontId="35" fillId="23" borderId="1" xfId="0" applyNumberFormat="1" applyFont="1" applyFill="1" applyBorder="1"/>
    <xf numFmtId="9" fontId="35" fillId="23" borderId="1" xfId="1" applyFont="1" applyFill="1" applyBorder="1"/>
    <xf numFmtId="0" fontId="35" fillId="23" borderId="1" xfId="0" applyFont="1" applyFill="1" applyBorder="1"/>
    <xf numFmtId="0" fontId="35" fillId="0" borderId="4" xfId="0" applyFont="1" applyBorder="1" applyAlignment="1">
      <alignment horizontal="right" vertical="center"/>
    </xf>
    <xf numFmtId="0" fontId="0" fillId="0" borderId="65" xfId="0" applyBorder="1" applyAlignment="1">
      <alignment horizontal="right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177" fontId="35" fillId="23" borderId="42" xfId="0" applyNumberFormat="1" applyFont="1" applyFill="1" applyBorder="1"/>
    <xf numFmtId="0" fontId="0" fillId="23" borderId="1" xfId="0" applyFill="1" applyBorder="1"/>
    <xf numFmtId="0" fontId="0" fillId="23" borderId="39" xfId="0" applyFill="1" applyBorder="1"/>
    <xf numFmtId="0" fontId="0" fillId="23" borderId="42" xfId="0" applyFill="1" applyBorder="1"/>
    <xf numFmtId="0" fontId="0" fillId="23" borderId="43" xfId="0" applyFill="1" applyBorder="1"/>
    <xf numFmtId="166" fontId="0" fillId="0" borderId="1" xfId="0" applyNumberFormat="1" applyBorder="1"/>
    <xf numFmtId="166" fontId="22" fillId="3" borderId="6" xfId="15" applyNumberFormat="1"/>
    <xf numFmtId="0" fontId="0" fillId="0" borderId="0" xfId="0" applyBorder="1" applyAlignment="1">
      <alignment horizontal="center"/>
    </xf>
    <xf numFmtId="0" fontId="0" fillId="0" borderId="0" xfId="0" applyBorder="1"/>
    <xf numFmtId="2" fontId="0" fillId="0" borderId="0" xfId="0" applyNumberFormat="1" applyBorder="1"/>
    <xf numFmtId="0" fontId="0" fillId="0" borderId="0" xfId="0" applyBorder="1" applyAlignment="1">
      <alignment horizontal="left"/>
    </xf>
    <xf numFmtId="175" fontId="0" fillId="0" borderId="0" xfId="16" applyNumberFormat="1" applyFont="1" applyBorder="1"/>
    <xf numFmtId="0" fontId="0" fillId="0" borderId="46" xfId="0" applyBorder="1"/>
    <xf numFmtId="0" fontId="0" fillId="13" borderId="46" xfId="0" applyFill="1" applyBorder="1"/>
    <xf numFmtId="166" fontId="0" fillId="0" borderId="36" xfId="0" applyNumberFormat="1" applyBorder="1"/>
    <xf numFmtId="0" fontId="0" fillId="0" borderId="0" xfId="0" applyBorder="1" applyAlignment="1">
      <alignment horizontal="left" wrapText="1"/>
    </xf>
    <xf numFmtId="0" fontId="0" fillId="0" borderId="72" xfId="0" applyFill="1" applyBorder="1"/>
    <xf numFmtId="0" fontId="0" fillId="0" borderId="10" xfId="0" applyBorder="1"/>
    <xf numFmtId="0" fontId="0" fillId="0" borderId="11" xfId="0" applyBorder="1"/>
    <xf numFmtId="0" fontId="0" fillId="0" borderId="25" xfId="0" applyFill="1" applyBorder="1"/>
    <xf numFmtId="166" fontId="0" fillId="0" borderId="12" xfId="0" applyNumberFormat="1" applyBorder="1"/>
    <xf numFmtId="0" fontId="0" fillId="4" borderId="0" xfId="6" applyFont="1" applyBorder="1" applyAlignment="1">
      <alignment wrapText="1"/>
    </xf>
    <xf numFmtId="1" fontId="0" fillId="0" borderId="0" xfId="0" applyNumberFormat="1" applyBorder="1"/>
    <xf numFmtId="0" fontId="0" fillId="4" borderId="0" xfId="6" applyFont="1" applyBorder="1"/>
    <xf numFmtId="1" fontId="0" fillId="0" borderId="14" xfId="0" applyNumberFormat="1" applyBorder="1"/>
    <xf numFmtId="1" fontId="0" fillId="0" borderId="17" xfId="0" applyNumberFormat="1" applyBorder="1"/>
    <xf numFmtId="2" fontId="22" fillId="3" borderId="6" xfId="15" applyNumberFormat="1"/>
    <xf numFmtId="0" fontId="0" fillId="4" borderId="81" xfId="6" applyFont="1" applyBorder="1" applyAlignment="1">
      <alignment wrapText="1"/>
    </xf>
    <xf numFmtId="0" fontId="0" fillId="4" borderId="81" xfId="6" applyFont="1" applyBorder="1"/>
    <xf numFmtId="0" fontId="22" fillId="3" borderId="82" xfId="15" applyBorder="1"/>
    <xf numFmtId="2" fontId="22" fillId="3" borderId="82" xfId="15" applyNumberFormat="1" applyBorder="1"/>
    <xf numFmtId="0" fontId="0" fillId="0" borderId="0" xfId="6" applyFont="1" applyFill="1" applyBorder="1" applyAlignment="1">
      <alignment wrapText="1"/>
    </xf>
    <xf numFmtId="0" fontId="0" fillId="0" borderId="0" xfId="6" applyFont="1" applyFill="1" applyBorder="1"/>
    <xf numFmtId="0" fontId="22" fillId="0" borderId="0" xfId="15" applyFill="1" applyBorder="1"/>
    <xf numFmtId="2" fontId="22" fillId="0" borderId="0" xfId="15" applyNumberFormat="1" applyFill="1" applyBorder="1"/>
    <xf numFmtId="0" fontId="0" fillId="0" borderId="0" xfId="0" applyFill="1"/>
    <xf numFmtId="1" fontId="0" fillId="0" borderId="0" xfId="0" applyNumberFormat="1" applyFill="1" applyBorder="1"/>
    <xf numFmtId="1" fontId="0" fillId="0" borderId="14" xfId="0" applyNumberFormat="1" applyFill="1" applyBorder="1"/>
    <xf numFmtId="1" fontId="0" fillId="0" borderId="17" xfId="0" applyNumberFormat="1" applyFill="1" applyBorder="1"/>
    <xf numFmtId="0" fontId="0" fillId="0" borderId="14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24" fillId="10" borderId="0" xfId="0" applyFont="1" applyFill="1" applyAlignment="1">
      <alignment horizontal="center"/>
    </xf>
    <xf numFmtId="0" fontId="16" fillId="6" borderId="0" xfId="0" applyFont="1" applyFill="1" applyAlignment="1">
      <alignment horizontal="left" vertical="center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4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1" fontId="18" fillId="6" borderId="2" xfId="0" applyNumberFormat="1" applyFont="1" applyFill="1" applyBorder="1" applyAlignment="1">
      <alignment horizontal="center" vertical="center"/>
    </xf>
    <xf numFmtId="1" fontId="18" fillId="6" borderId="4" xfId="0" applyNumberFormat="1" applyFont="1" applyFill="1" applyBorder="1" applyAlignment="1">
      <alignment horizontal="center" vertical="center"/>
    </xf>
    <xf numFmtId="1" fontId="18" fillId="6" borderId="3" xfId="0" applyNumberFormat="1" applyFont="1" applyFill="1" applyBorder="1" applyAlignment="1">
      <alignment horizontal="center" vertical="center"/>
    </xf>
    <xf numFmtId="1" fontId="18" fillId="5" borderId="2" xfId="0" applyNumberFormat="1" applyFont="1" applyFill="1" applyBorder="1" applyAlignment="1">
      <alignment horizontal="center" vertical="center"/>
    </xf>
    <xf numFmtId="1" fontId="18" fillId="5" borderId="4" xfId="0" applyNumberFormat="1" applyFont="1" applyFill="1" applyBorder="1" applyAlignment="1">
      <alignment horizontal="center" vertical="center"/>
    </xf>
    <xf numFmtId="1" fontId="18" fillId="5" borderId="3" xfId="0" applyNumberFormat="1" applyFont="1" applyFill="1" applyBorder="1" applyAlignment="1">
      <alignment horizontal="center" vertical="center"/>
    </xf>
    <xf numFmtId="0" fontId="20" fillId="0" borderId="1" xfId="0" applyFont="1" applyBorder="1" applyAlignment="1" applyProtection="1">
      <alignment horizontal="left" vertical="center"/>
      <protection locked="0"/>
    </xf>
    <xf numFmtId="0" fontId="18" fillId="6" borderId="2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1" fontId="18" fillId="6" borderId="1" xfId="0" applyNumberFormat="1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right" vertical="center"/>
    </xf>
    <xf numFmtId="0" fontId="18" fillId="7" borderId="2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2" fillId="9" borderId="13" xfId="0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2" fillId="9" borderId="15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textRotation="90"/>
    </xf>
    <xf numFmtId="170" fontId="2" fillId="6" borderId="2" xfId="14" applyNumberFormat="1" applyFont="1" applyFill="1" applyBorder="1" applyAlignment="1">
      <alignment horizontal="center" vertical="center" wrapText="1"/>
    </xf>
    <xf numFmtId="170" fontId="2" fillId="6" borderId="4" xfId="14" applyNumberFormat="1" applyFont="1" applyFill="1" applyBorder="1" applyAlignment="1">
      <alignment horizontal="center" vertical="center" wrapText="1"/>
    </xf>
    <xf numFmtId="170" fontId="2" fillId="6" borderId="3" xfId="14" applyNumberFormat="1" applyFont="1" applyFill="1" applyBorder="1" applyAlignment="1">
      <alignment horizontal="center" vertical="center" wrapText="1"/>
    </xf>
    <xf numFmtId="43" fontId="2" fillId="6" borderId="2" xfId="14" applyFont="1" applyFill="1" applyBorder="1" applyAlignment="1">
      <alignment horizontal="center" vertical="center" wrapText="1"/>
    </xf>
    <xf numFmtId="43" fontId="2" fillId="6" borderId="4" xfId="14" applyFont="1" applyFill="1" applyBorder="1" applyAlignment="1">
      <alignment horizontal="center" vertical="center" wrapText="1"/>
    </xf>
    <xf numFmtId="43" fontId="2" fillId="6" borderId="3" xfId="14" applyFont="1" applyFill="1" applyBorder="1" applyAlignment="1">
      <alignment horizontal="center" vertical="center" wrapText="1"/>
    </xf>
    <xf numFmtId="171" fontId="2" fillId="6" borderId="2" xfId="14" applyNumberFormat="1" applyFont="1" applyFill="1" applyBorder="1" applyAlignment="1">
      <alignment horizontal="center" vertical="center" wrapText="1"/>
    </xf>
    <xf numFmtId="171" fontId="2" fillId="6" borderId="4" xfId="14" applyNumberFormat="1" applyFont="1" applyFill="1" applyBorder="1" applyAlignment="1">
      <alignment horizontal="center" vertical="center" wrapText="1"/>
    </xf>
    <xf numFmtId="171" fontId="2" fillId="6" borderId="3" xfId="14" applyNumberFormat="1" applyFont="1" applyFill="1" applyBorder="1" applyAlignment="1">
      <alignment horizontal="center" vertical="center" wrapText="1"/>
    </xf>
    <xf numFmtId="172" fontId="2" fillId="6" borderId="2" xfId="14" applyNumberFormat="1" applyFont="1" applyFill="1" applyBorder="1" applyAlignment="1">
      <alignment horizontal="center" vertical="center" wrapText="1"/>
    </xf>
    <xf numFmtId="172" fontId="2" fillId="6" borderId="4" xfId="14" applyNumberFormat="1" applyFont="1" applyFill="1" applyBorder="1" applyAlignment="1">
      <alignment horizontal="center" vertical="center" wrapText="1"/>
    </xf>
    <xf numFmtId="172" fontId="2" fillId="6" borderId="3" xfId="14" applyNumberFormat="1" applyFont="1" applyFill="1" applyBorder="1" applyAlignment="1">
      <alignment horizontal="center" vertical="center" wrapText="1"/>
    </xf>
    <xf numFmtId="173" fontId="2" fillId="6" borderId="2" xfId="14" applyNumberFormat="1" applyFont="1" applyFill="1" applyBorder="1" applyAlignment="1">
      <alignment horizontal="center" vertical="center" wrapText="1"/>
    </xf>
    <xf numFmtId="173" fontId="2" fillId="6" borderId="4" xfId="14" applyNumberFormat="1" applyFont="1" applyFill="1" applyBorder="1" applyAlignment="1">
      <alignment horizontal="center" vertical="center" wrapText="1"/>
    </xf>
    <xf numFmtId="173" fontId="2" fillId="6" borderId="3" xfId="14" applyNumberFormat="1" applyFont="1" applyFill="1" applyBorder="1" applyAlignment="1">
      <alignment horizontal="center" vertical="center" wrapText="1"/>
    </xf>
    <xf numFmtId="171" fontId="2" fillId="6" borderId="2" xfId="14" applyNumberFormat="1" applyFont="1" applyFill="1" applyBorder="1" applyAlignment="1">
      <alignment horizontal="left" vertical="center" wrapText="1"/>
    </xf>
    <xf numFmtId="171" fontId="2" fillId="6" borderId="4" xfId="14" applyNumberFormat="1" applyFont="1" applyFill="1" applyBorder="1" applyAlignment="1">
      <alignment horizontal="left" vertical="center" wrapText="1"/>
    </xf>
    <xf numFmtId="171" fontId="2" fillId="6" borderId="3" xfId="14" applyNumberFormat="1" applyFont="1" applyFill="1" applyBorder="1" applyAlignment="1">
      <alignment horizontal="left" vertical="center" wrapText="1"/>
    </xf>
    <xf numFmtId="0" fontId="18" fillId="7" borderId="4" xfId="0" applyFont="1" applyFill="1" applyBorder="1" applyAlignment="1">
      <alignment horizontal="right" vertical="center"/>
    </xf>
    <xf numFmtId="0" fontId="0" fillId="7" borderId="1" xfId="0" applyFill="1" applyBorder="1" applyAlignment="1">
      <alignment vertical="center" textRotation="90"/>
    </xf>
    <xf numFmtId="172" fontId="2" fillId="6" borderId="2" xfId="14" applyNumberFormat="1" applyFont="1" applyFill="1" applyBorder="1" applyAlignment="1">
      <alignment horizontal="left" vertical="center" wrapText="1"/>
    </xf>
    <xf numFmtId="172" fontId="2" fillId="6" borderId="4" xfId="14" applyNumberFormat="1" applyFont="1" applyFill="1" applyBorder="1" applyAlignment="1">
      <alignment horizontal="left" vertical="center" wrapText="1"/>
    </xf>
    <xf numFmtId="172" fontId="2" fillId="6" borderId="3" xfId="14" applyNumberFormat="1" applyFont="1" applyFill="1" applyBorder="1" applyAlignment="1">
      <alignment horizontal="left" vertical="center" wrapText="1"/>
    </xf>
    <xf numFmtId="3" fontId="2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center" vertical="center"/>
    </xf>
    <xf numFmtId="3" fontId="2" fillId="6" borderId="3" xfId="0" applyNumberFormat="1" applyFont="1" applyFill="1" applyBorder="1" applyAlignment="1">
      <alignment horizontal="center" vertical="center"/>
    </xf>
    <xf numFmtId="3" fontId="2" fillId="6" borderId="13" xfId="0" applyNumberFormat="1" applyFont="1" applyFill="1" applyBorder="1" applyAlignment="1">
      <alignment horizontal="center" vertical="center"/>
    </xf>
    <xf numFmtId="3" fontId="2" fillId="6" borderId="14" xfId="0" applyNumberFormat="1" applyFont="1" applyFill="1" applyBorder="1" applyAlignment="1">
      <alignment horizontal="center" vertical="center"/>
    </xf>
    <xf numFmtId="3" fontId="2" fillId="6" borderId="15" xfId="0" applyNumberFormat="1" applyFont="1" applyFill="1" applyBorder="1" applyAlignment="1">
      <alignment horizontal="center" vertical="center"/>
    </xf>
    <xf numFmtId="9" fontId="2" fillId="6" borderId="10" xfId="1" applyFont="1" applyFill="1" applyBorder="1" applyAlignment="1">
      <alignment horizontal="center" vertical="center"/>
    </xf>
    <xf numFmtId="9" fontId="2" fillId="6" borderId="11" xfId="1" applyFont="1" applyFill="1" applyBorder="1" applyAlignment="1">
      <alignment horizontal="center" vertical="center"/>
    </xf>
    <xf numFmtId="9" fontId="2" fillId="6" borderId="12" xfId="1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right" vertical="center"/>
    </xf>
    <xf numFmtId="0" fontId="18" fillId="6" borderId="4" xfId="0" applyFont="1" applyFill="1" applyBorder="1" applyAlignment="1">
      <alignment horizontal="right" vertical="center"/>
    </xf>
    <xf numFmtId="0" fontId="18" fillId="6" borderId="3" xfId="0" applyFont="1" applyFill="1" applyBorder="1" applyAlignment="1">
      <alignment horizontal="right" vertical="center"/>
    </xf>
    <xf numFmtId="0" fontId="0" fillId="0" borderId="34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4" fillId="0" borderId="10" xfId="0" applyFont="1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0" fillId="0" borderId="28" xfId="0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0" fillId="0" borderId="80" xfId="0" applyBorder="1" applyAlignment="1">
      <alignment horizontal="center" vertical="center" wrapText="1"/>
    </xf>
    <xf numFmtId="0" fontId="35" fillId="0" borderId="37" xfId="0" applyFont="1" applyBorder="1" applyAlignment="1">
      <alignment horizontal="right" vertical="center"/>
    </xf>
    <xf numFmtId="0" fontId="35" fillId="0" borderId="3" xfId="0" applyFont="1" applyBorder="1" applyAlignment="1">
      <alignment horizontal="right" vertical="center"/>
    </xf>
    <xf numFmtId="0" fontId="35" fillId="13" borderId="2" xfId="0" applyFont="1" applyFill="1" applyBorder="1" applyAlignment="1">
      <alignment horizontal="center"/>
    </xf>
    <xf numFmtId="0" fontId="35" fillId="13" borderId="63" xfId="0" applyFont="1" applyFill="1" applyBorder="1" applyAlignment="1">
      <alignment horizontal="center"/>
    </xf>
    <xf numFmtId="0" fontId="35" fillId="0" borderId="40" xfId="0" applyFont="1" applyBorder="1" applyAlignment="1">
      <alignment horizontal="right" vertical="center"/>
    </xf>
    <xf numFmtId="0" fontId="35" fillId="0" borderId="49" xfId="0" applyFont="1" applyBorder="1" applyAlignment="1">
      <alignment horizontal="right" vertical="center"/>
    </xf>
    <xf numFmtId="0" fontId="35" fillId="0" borderId="4" xfId="0" applyFont="1" applyBorder="1" applyAlignment="1">
      <alignment horizontal="right" vertical="center"/>
    </xf>
    <xf numFmtId="0" fontId="34" fillId="0" borderId="76" xfId="0" applyFont="1" applyBorder="1" applyAlignment="1">
      <alignment horizontal="center" vertical="center"/>
    </xf>
    <xf numFmtId="0" fontId="34" fillId="0" borderId="77" xfId="0" applyFont="1" applyBorder="1" applyAlignment="1">
      <alignment horizontal="center" vertical="center"/>
    </xf>
    <xf numFmtId="0" fontId="34" fillId="0" borderId="78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35" fillId="13" borderId="60" xfId="0" applyFont="1" applyFill="1" applyBorder="1" applyAlignment="1">
      <alignment horizontal="center"/>
    </xf>
    <xf numFmtId="0" fontId="35" fillId="13" borderId="61" xfId="0" applyFont="1" applyFill="1" applyBorder="1" applyAlignment="1">
      <alignment horizontal="center"/>
    </xf>
    <xf numFmtId="0" fontId="35" fillId="13" borderId="62" xfId="0" applyFont="1" applyFill="1" applyBorder="1" applyAlignment="1">
      <alignment horizontal="center"/>
    </xf>
    <xf numFmtId="0" fontId="35" fillId="13" borderId="4" xfId="0" applyFont="1" applyFill="1" applyBorder="1" applyAlignment="1">
      <alignment horizontal="center"/>
    </xf>
    <xf numFmtId="0" fontId="35" fillId="13" borderId="64" xfId="0" applyFont="1" applyFill="1" applyBorder="1" applyAlignment="1">
      <alignment horizontal="center"/>
    </xf>
    <xf numFmtId="0" fontId="35" fillId="13" borderId="65" xfId="0" applyFont="1" applyFill="1" applyBorder="1" applyAlignment="1">
      <alignment horizontal="center"/>
    </xf>
    <xf numFmtId="0" fontId="35" fillId="13" borderId="66" xfId="0" applyFont="1" applyFill="1" applyBorder="1" applyAlignment="1">
      <alignment horizontal="center"/>
    </xf>
    <xf numFmtId="0" fontId="35" fillId="0" borderId="33" xfId="0" applyFont="1" applyBorder="1" applyAlignment="1">
      <alignment horizontal="right" vertical="center"/>
    </xf>
    <xf numFmtId="0" fontId="35" fillId="0" borderId="46" xfId="0" applyFont="1" applyBorder="1" applyAlignment="1">
      <alignment horizontal="right" vertical="center"/>
    </xf>
    <xf numFmtId="0" fontId="38" fillId="0" borderId="0" xfId="0" applyFont="1" applyAlignment="1">
      <alignment vertical="center" wrapText="1"/>
    </xf>
    <xf numFmtId="0" fontId="38" fillId="6" borderId="74" xfId="0" applyFont="1" applyFill="1" applyBorder="1" applyAlignment="1">
      <alignment horizontal="center" vertical="center" wrapText="1"/>
    </xf>
    <xf numFmtId="0" fontId="38" fillId="6" borderId="13" xfId="0" applyFont="1" applyFill="1" applyBorder="1" applyAlignment="1">
      <alignment horizontal="center" vertical="center" wrapText="1"/>
    </xf>
    <xf numFmtId="0" fontId="37" fillId="6" borderId="1" xfId="0" applyFont="1" applyFill="1" applyBorder="1" applyAlignment="1">
      <alignment vertical="center" wrapText="1"/>
    </xf>
    <xf numFmtId="0" fontId="38" fillId="6" borderId="2" xfId="0" applyFont="1" applyFill="1" applyBorder="1" applyAlignment="1">
      <alignment horizontal="center" vertical="center" wrapText="1"/>
    </xf>
    <xf numFmtId="0" fontId="38" fillId="6" borderId="4" xfId="0" applyFont="1" applyFill="1" applyBorder="1" applyAlignment="1">
      <alignment horizontal="center" vertical="center" wrapText="1"/>
    </xf>
    <xf numFmtId="0" fontId="38" fillId="6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36" fillId="0" borderId="45" xfId="0" applyFont="1" applyBorder="1" applyAlignment="1">
      <alignment horizontal="center"/>
    </xf>
    <xf numFmtId="0" fontId="36" fillId="0" borderId="25" xfId="0" applyFont="1" applyBorder="1" applyAlignment="1">
      <alignment horizontal="center"/>
    </xf>
    <xf numFmtId="0" fontId="36" fillId="0" borderId="26" xfId="0" applyFont="1" applyBorder="1" applyAlignment="1">
      <alignment horizontal="center"/>
    </xf>
    <xf numFmtId="0" fontId="38" fillId="6" borderId="1" xfId="0" applyFont="1" applyFill="1" applyBorder="1" applyAlignment="1">
      <alignment vertical="center" wrapText="1"/>
    </xf>
    <xf numFmtId="0" fontId="36" fillId="8" borderId="0" xfId="0" applyFont="1" applyFill="1" applyAlignment="1">
      <alignment horizontal="center"/>
    </xf>
  </cellXfs>
  <cellStyles count="21">
    <cellStyle name="Calculation" xfId="15" builtinId="22"/>
    <cellStyle name="Calculation 2" xfId="12" xr:uid="{D555C8F4-E64E-4F51-8A90-90D16D8D5C70}"/>
    <cellStyle name="Comma" xfId="14" builtinId="3"/>
    <cellStyle name="Comma 2" xfId="16" xr:uid="{9DE929D1-AB86-44EB-9327-F3306670E7C2}"/>
    <cellStyle name="Comma 3" xfId="19" xr:uid="{5D2E6ECE-EE83-490D-92A7-3F0F0EC8282E}"/>
    <cellStyle name="Explanatory Text" xfId="8" builtinId="53"/>
    <cellStyle name="Heading 2" xfId="3" builtinId="17"/>
    <cellStyle name="Heading 3" xfId="7" builtinId="18"/>
    <cellStyle name="Input" xfId="4" builtinId="20"/>
    <cellStyle name="Input 2" xfId="11" xr:uid="{EC939ED9-4399-461C-97E2-5DBF45A17CDA}"/>
    <cellStyle name="Normal" xfId="0" builtinId="0"/>
    <cellStyle name="Normal 2" xfId="2" xr:uid="{D035E1BD-84C4-4ABC-902D-7343971AFA02}"/>
    <cellStyle name="Normal 3" xfId="9" xr:uid="{A98B65D9-DC6D-4533-B920-FCCD7A1E8D47}"/>
    <cellStyle name="Normal 4" xfId="17" xr:uid="{BDE9537C-30DE-4E39-AE02-111E02988066}"/>
    <cellStyle name="Normal 5" xfId="20" xr:uid="{232CAAF6-C8D4-4276-B7AE-106AC5D54DDB}"/>
    <cellStyle name="Note" xfId="6" builtinId="10"/>
    <cellStyle name="Note 2" xfId="10" xr:uid="{21F214E7-33EE-4D25-B2E7-6F5E21CE0F1C}"/>
    <cellStyle name="Output" xfId="5" builtinId="21"/>
    <cellStyle name="Output 2" xfId="13" xr:uid="{EAF049E0-806B-4B57-B5B6-23D18C90A35D}"/>
    <cellStyle name="Percent" xfId="1" builtinId="5"/>
    <cellStyle name="Percent 2" xfId="18" xr:uid="{29AE9A44-A8CC-45D4-AE73-83FE6AE1B76F}"/>
  </cellStyles>
  <dxfs count="8">
    <dxf>
      <fill>
        <patternFill>
          <bgColor theme="1" tint="0.499984740745262"/>
        </patternFill>
      </fill>
    </dxf>
    <dxf>
      <fill>
        <patternFill>
          <bgColor rgb="FFFF7C80"/>
        </patternFill>
      </fill>
    </dxf>
    <dxf>
      <fill>
        <patternFill>
          <bgColor theme="1" tint="0.499984740745262"/>
        </patternFill>
      </fill>
    </dxf>
    <dxf>
      <fill>
        <patternFill>
          <bgColor rgb="FFFF9999"/>
        </patternFill>
      </fill>
    </dxf>
    <dxf>
      <fill>
        <patternFill>
          <bgColor theme="9" tint="0.79998168889431442"/>
        </patternFill>
      </fill>
    </dxf>
    <dxf>
      <font>
        <b val="0"/>
        <i/>
        <color auto="1"/>
      </font>
      <fill>
        <patternFill>
          <bgColor rgb="FFFF9999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 val="0"/>
        <i val="0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FF99"/>
      <color rgb="FFFF9933"/>
      <color rgb="FFFF99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Electricity Consumption</a:t>
            </a:r>
          </a:p>
        </c:rich>
      </c:tx>
      <c:layout>
        <c:manualLayout>
          <c:xMode val="edge"/>
          <c:yMode val="edge"/>
          <c:x val="0.22919953687107791"/>
          <c:y val="3.18302387267906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56928361895938"/>
          <c:y val="0.16976127320954887"/>
          <c:w val="0.76719603983325613"/>
          <c:h val="0.58620689655172409"/>
        </c:manualLayout>
      </c:layout>
      <c:lineChart>
        <c:grouping val="standard"/>
        <c:varyColors val="0"/>
        <c:ser>
          <c:idx val="1"/>
          <c:order val="0"/>
          <c:tx>
            <c:v>Actual kWh Usage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'Electric Matching'!$E$4:$E$15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78-4763-8AE9-67FE6D1B1BB1}"/>
            </c:ext>
          </c:extLst>
        </c:ser>
        <c:ser>
          <c:idx val="0"/>
          <c:order val="1"/>
          <c:tx>
            <c:v>Modeled kWh Usage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'Electric Matching'!$I$4:$I$15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78-4763-8AE9-67FE6D1B1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364416"/>
        <c:axId val="331364800"/>
      </c:lineChart>
      <c:dateAx>
        <c:axId val="33136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1648384611264075"/>
              <c:y val="0.82758620689655149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136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Consumption (kWh)</a:t>
                </a:r>
              </a:p>
            </c:rich>
          </c:tx>
          <c:layout>
            <c:manualLayout>
              <c:xMode val="edge"/>
              <c:yMode val="edge"/>
              <c:x val="2.3547880690737787E-2"/>
              <c:y val="0.2944297082228133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2145395888013992E-2"/>
          <c:y val="0.90450928381962858"/>
          <c:w val="0.86616442475940525"/>
          <c:h val="5.83554376657824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Fuel Oil Consumption</a:t>
            </a:r>
          </a:p>
        </c:rich>
      </c:tx>
      <c:layout>
        <c:manualLayout>
          <c:xMode val="edge"/>
          <c:yMode val="edge"/>
          <c:x val="0.22919953687107791"/>
          <c:y val="3.18302387267906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56928361895938"/>
          <c:y val="0.16976127320954887"/>
          <c:w val="0.76719603983325613"/>
          <c:h val="0.58620689655172409"/>
        </c:manualLayout>
      </c:layout>
      <c:lineChart>
        <c:grouping val="standard"/>
        <c:varyColors val="0"/>
        <c:ser>
          <c:idx val="1"/>
          <c:order val="0"/>
          <c:tx>
            <c:v>Actual mBTU Usage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'Fuel Oil Matching'!$E$4:$E$15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F7-4C6E-8DAE-6D5D9BFE66DC}"/>
            </c:ext>
          </c:extLst>
        </c:ser>
        <c:ser>
          <c:idx val="0"/>
          <c:order val="1"/>
          <c:tx>
            <c:v>Modeled mBTU Usage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'Fuel Oil Matching'!$I$4:$I$15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F7-4C6E-8DAE-6D5D9BFE66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364416"/>
        <c:axId val="331364800"/>
      </c:lineChart>
      <c:dateAx>
        <c:axId val="33136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1648384611264075"/>
              <c:y val="0.82758620689655149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136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Consumption (Therm)</a:t>
                </a:r>
              </a:p>
            </c:rich>
          </c:tx>
          <c:layout>
            <c:manualLayout>
              <c:xMode val="edge"/>
              <c:yMode val="edge"/>
              <c:x val="2.3547880690737787E-2"/>
              <c:y val="0.2944297082228133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2145395888013992E-2"/>
          <c:y val="0.90450928381962858"/>
          <c:w val="0.86616442475940525"/>
          <c:h val="5.83554376657824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Fuel Oil Demand</a:t>
            </a:r>
          </a:p>
        </c:rich>
      </c:tx>
      <c:layout>
        <c:manualLayout>
          <c:xMode val="edge"/>
          <c:yMode val="edge"/>
          <c:x val="0.19812964785651793"/>
          <c:y val="1.77651992789157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7901457589271"/>
          <c:y val="0.16266722659667543"/>
          <c:w val="0.80685920577617365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kBTU/hr Demand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'Fuel Oil Matching'!$F$4:$F$15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7-4153-A25E-1DB89D988EFF}"/>
            </c:ext>
          </c:extLst>
        </c:ser>
        <c:ser>
          <c:idx val="0"/>
          <c:order val="1"/>
          <c:tx>
            <c:v>Modeled kBTU/hr Demand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'Fuel Oil Matching'!$J$4:$J$15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7-4153-A25E-1DB89D988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088416"/>
        <c:axId val="332088800"/>
      </c:lineChart>
      <c:dateAx>
        <c:axId val="33208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2088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Demand (kBTU/hr)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5473807961504838E-2"/>
          <c:y val="0.90400223972003457"/>
          <c:w val="0.86556102362204723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Fuel Oil Cost</a:t>
            </a:r>
          </a:p>
        </c:rich>
      </c:tx>
      <c:layout>
        <c:manualLayout>
          <c:xMode val="edge"/>
          <c:yMode val="edge"/>
          <c:x val="0.16478420170965372"/>
          <c:y val="5.09799086502087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69133956020859"/>
          <c:y val="0.16266722659667543"/>
          <c:w val="0.77954691417762711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Energy Cost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'Fuel Oil Matching'!$G$4:$G$15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04-4FAC-91C1-3897D3DA5441}"/>
            </c:ext>
          </c:extLst>
        </c:ser>
        <c:ser>
          <c:idx val="0"/>
          <c:order val="1"/>
          <c:tx>
            <c:v>Modeled Energy Cost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'Fuel Oil Matching'!$K$4:$K$15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04-4FAC-91C1-3897D3DA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698720"/>
        <c:axId val="339698328"/>
      </c:lineChart>
      <c:dateAx>
        <c:axId val="33969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328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9698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Energy Cost ($)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7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3152986236659404E-2"/>
          <c:y val="0.90400223972003457"/>
          <c:w val="0.87047234018132258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Energy Consumption</a:t>
            </a:r>
          </a:p>
        </c:rich>
      </c:tx>
      <c:layout>
        <c:manualLayout>
          <c:xMode val="edge"/>
          <c:yMode val="edge"/>
          <c:x val="0.22919953687107791"/>
          <c:y val="3.18302387267906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56928361895938"/>
          <c:y val="0.16976127320954887"/>
          <c:w val="0.76719603983325613"/>
          <c:h val="0.58620689655172409"/>
        </c:manualLayout>
      </c:layout>
      <c:lineChart>
        <c:grouping val="standard"/>
        <c:varyColors val="0"/>
        <c:ser>
          <c:idx val="1"/>
          <c:order val="0"/>
          <c:tx>
            <c:v>Actual Therm Usage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'Other Energy Matching'!$E$4:$E$15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CE-43C3-8E1B-79D67971649E}"/>
            </c:ext>
          </c:extLst>
        </c:ser>
        <c:ser>
          <c:idx val="0"/>
          <c:order val="1"/>
          <c:tx>
            <c:v>Modeled Therm Usage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'Other Energy Matching'!$I$4:$I$15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CE-43C3-8E1B-79D679716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364416"/>
        <c:axId val="331364800"/>
      </c:lineChart>
      <c:dateAx>
        <c:axId val="33136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1648384611264075"/>
              <c:y val="0.82758620689655149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136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Consumption (Therm)</a:t>
                </a:r>
              </a:p>
            </c:rich>
          </c:tx>
          <c:layout>
            <c:manualLayout>
              <c:xMode val="edge"/>
              <c:yMode val="edge"/>
              <c:x val="2.3547880690737787E-2"/>
              <c:y val="0.2944297082228133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2145395888013992E-2"/>
          <c:y val="0.90450928381962858"/>
          <c:w val="0.86616442475940525"/>
          <c:h val="5.83554376657824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Energy Demand</a:t>
            </a:r>
          </a:p>
        </c:rich>
      </c:tx>
      <c:layout>
        <c:manualLayout>
          <c:xMode val="edge"/>
          <c:yMode val="edge"/>
          <c:x val="0.19812964785651793"/>
          <c:y val="1.77651992789157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7901457589271"/>
          <c:y val="0.16266722659667543"/>
          <c:w val="0.80685920577617365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kBTU/hr Demand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'Other Energy Matching'!$F$4:$F$15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D8-47EE-9067-C9B63F65DF7B}"/>
            </c:ext>
          </c:extLst>
        </c:ser>
        <c:ser>
          <c:idx val="0"/>
          <c:order val="1"/>
          <c:tx>
            <c:v>Modeled kBTU/hr Demand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'Other Energy Matching'!$J$4:$J$15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D8-47EE-9067-C9B63F65DF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088416"/>
        <c:axId val="332088800"/>
      </c:lineChart>
      <c:dateAx>
        <c:axId val="33208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2088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Demand (kBTU/hr)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5473807961504838E-2"/>
          <c:y val="0.90400223972003457"/>
          <c:w val="0.86556102362204723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Energy	 Cost</a:t>
            </a:r>
          </a:p>
        </c:rich>
      </c:tx>
      <c:layout>
        <c:manualLayout>
          <c:xMode val="edge"/>
          <c:yMode val="edge"/>
          <c:x val="0.16478420170965372"/>
          <c:y val="5.09799086502087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69133956020859"/>
          <c:y val="0.16266722659667543"/>
          <c:w val="0.77954691417762711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Energy Cost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'Other Energy Matching'!$G$4:$G$15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23-4025-A78F-C00C74BA7B28}"/>
            </c:ext>
          </c:extLst>
        </c:ser>
        <c:ser>
          <c:idx val="0"/>
          <c:order val="1"/>
          <c:tx>
            <c:v>Modeled Energy Cost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'Other Energy Matching'!$K$4:$K$15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23-4025-A78F-C00C74BA7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698720"/>
        <c:axId val="339698328"/>
      </c:lineChart>
      <c:dateAx>
        <c:axId val="33969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328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9698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Energy Cost ($)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7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3152986236659404E-2"/>
          <c:y val="0.90400223972003457"/>
          <c:w val="0.87047234018132258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Electricity Demand</a:t>
            </a:r>
          </a:p>
        </c:rich>
      </c:tx>
      <c:layout>
        <c:manualLayout>
          <c:xMode val="edge"/>
          <c:yMode val="edge"/>
          <c:x val="0.19812964785651793"/>
          <c:y val="1.77651992789157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7901457589271"/>
          <c:y val="0.16266722659667543"/>
          <c:w val="0.80685920577617365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kW Demand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'Electric Matching'!$F$4:$F$15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37-4309-83F3-86149141A1C2}"/>
            </c:ext>
          </c:extLst>
        </c:ser>
        <c:ser>
          <c:idx val="0"/>
          <c:order val="1"/>
          <c:tx>
            <c:v>Modeled kW Demand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'Electric Matching'!$J$4:$J$15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37-4309-83F3-86149141A1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088416"/>
        <c:axId val="332088800"/>
      </c:lineChart>
      <c:dateAx>
        <c:axId val="33208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2088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Demand (kW)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5473807961504838E-2"/>
          <c:y val="0.90400223972003457"/>
          <c:w val="0.86556102362204723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Electricity Cost</a:t>
            </a:r>
          </a:p>
        </c:rich>
      </c:tx>
      <c:layout>
        <c:manualLayout>
          <c:xMode val="edge"/>
          <c:yMode val="edge"/>
          <c:x val="0.16478420170965372"/>
          <c:y val="5.09799086502087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69133956020859"/>
          <c:y val="0.16266722659667543"/>
          <c:w val="0.77954691417762711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Energy Cost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'Electric Matching'!$G$4:$G$15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CD-4CC7-9451-3B22BB332A6F}"/>
            </c:ext>
          </c:extLst>
        </c:ser>
        <c:ser>
          <c:idx val="0"/>
          <c:order val="1"/>
          <c:tx>
            <c:v>Modeled Energy Cost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'Electric Matching'!$K$4:$K$15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CD-4CC7-9451-3B22BB332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698720"/>
        <c:axId val="339698328"/>
      </c:lineChart>
      <c:dateAx>
        <c:axId val="33969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328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9698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Energy Cost ($)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7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3152986236659404E-2"/>
          <c:y val="0.90400223972003457"/>
          <c:w val="0.87047234018132258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Gas Consumption</a:t>
            </a:r>
          </a:p>
        </c:rich>
      </c:tx>
      <c:layout>
        <c:manualLayout>
          <c:xMode val="edge"/>
          <c:yMode val="edge"/>
          <c:x val="0.22919953687107791"/>
          <c:y val="3.18302387267906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56928361895938"/>
          <c:y val="0.16976127320954887"/>
          <c:w val="0.76719603983325613"/>
          <c:h val="0.58620689655172409"/>
        </c:manualLayout>
      </c:layout>
      <c:lineChart>
        <c:grouping val="standard"/>
        <c:varyColors val="0"/>
        <c:ser>
          <c:idx val="1"/>
          <c:order val="0"/>
          <c:tx>
            <c:v>Actual Therm Usage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'Gas Matching'!$E$4:$E$15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B3-470C-983F-37D0BEF7C209}"/>
            </c:ext>
          </c:extLst>
        </c:ser>
        <c:ser>
          <c:idx val="0"/>
          <c:order val="1"/>
          <c:tx>
            <c:v>Modeled Therm Usage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'Gas Matching'!$I$4:$I$15</c:f>
              <c:numCache>
                <c:formatCode>_(* #,##0_);_(* \(#,##0\);_(* "-"??_);_(@_)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B3-470C-983F-37D0BEF7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364416"/>
        <c:axId val="331364800"/>
      </c:lineChart>
      <c:dateAx>
        <c:axId val="33136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1648384611264075"/>
              <c:y val="0.82758620689655149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136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Consumption (Therm)</a:t>
                </a:r>
              </a:p>
            </c:rich>
          </c:tx>
          <c:layout>
            <c:manualLayout>
              <c:xMode val="edge"/>
              <c:yMode val="edge"/>
              <c:x val="2.3547880690737787E-2"/>
              <c:y val="0.2944297082228133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2145395888013992E-2"/>
          <c:y val="0.90450928381962858"/>
          <c:w val="0.86616442475940525"/>
          <c:h val="5.83554376657824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Gas Demand</a:t>
            </a:r>
          </a:p>
        </c:rich>
      </c:tx>
      <c:layout>
        <c:manualLayout>
          <c:xMode val="edge"/>
          <c:yMode val="edge"/>
          <c:x val="0.19812964785651793"/>
          <c:y val="1.77651992789157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7901457589271"/>
          <c:y val="0.16266722659667543"/>
          <c:w val="0.80685920577617365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kBTU/hr Demand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'Gas Matching'!$F$4:$F$15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B8-44DD-91FD-93945813E0A7}"/>
            </c:ext>
          </c:extLst>
        </c:ser>
        <c:ser>
          <c:idx val="0"/>
          <c:order val="1"/>
          <c:tx>
            <c:v>Modeled kBTU/hr Demand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'Gas Matching'!$J$4:$J$15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B8-44DD-91FD-93945813E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088416"/>
        <c:axId val="332088800"/>
      </c:lineChart>
      <c:dateAx>
        <c:axId val="33208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2088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Demand (kBTU/hr)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5473807961504838E-2"/>
          <c:y val="0.90400223972003457"/>
          <c:w val="0.86556102362204723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Gas Cost</a:t>
            </a:r>
          </a:p>
        </c:rich>
      </c:tx>
      <c:layout>
        <c:manualLayout>
          <c:xMode val="edge"/>
          <c:yMode val="edge"/>
          <c:x val="0.16478420170965372"/>
          <c:y val="5.09799086502087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69133956020859"/>
          <c:y val="0.16266722659667543"/>
          <c:w val="0.77954691417762711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Energy Cost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'Gas Matching'!$G$4:$G$15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2C-4DEF-B843-49796CDC6531}"/>
            </c:ext>
          </c:extLst>
        </c:ser>
        <c:ser>
          <c:idx val="0"/>
          <c:order val="1"/>
          <c:tx>
            <c:v>Modeled Energy Cost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'Gas Matching'!$K$4:$K$15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2C-4DEF-B843-49796CDC6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698720"/>
        <c:axId val="339698328"/>
      </c:lineChart>
      <c:dateAx>
        <c:axId val="33969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328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9698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Energy Cost ($)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7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3152986236659404E-2"/>
          <c:y val="0.90400223972003457"/>
          <c:w val="0.87047234018132258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Steam Consumption</a:t>
            </a:r>
          </a:p>
        </c:rich>
      </c:tx>
      <c:layout>
        <c:manualLayout>
          <c:xMode val="edge"/>
          <c:yMode val="edge"/>
          <c:x val="0.22919953687107791"/>
          <c:y val="3.18302387267906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56928361895938"/>
          <c:y val="0.16976127320954887"/>
          <c:w val="0.76719603983325613"/>
          <c:h val="0.58620689655172409"/>
        </c:manualLayout>
      </c:layout>
      <c:lineChart>
        <c:grouping val="standard"/>
        <c:varyColors val="0"/>
        <c:ser>
          <c:idx val="1"/>
          <c:order val="0"/>
          <c:tx>
            <c:v>Actual Therm Usage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'Steam Matching'!$E$4:$E$15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2A-4378-A219-E96502FBC9A9}"/>
            </c:ext>
          </c:extLst>
        </c:ser>
        <c:ser>
          <c:idx val="0"/>
          <c:order val="1"/>
          <c:tx>
            <c:v>Modeled Therm Usage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'Steam Matching'!$I$4:$I$15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2A-4378-A219-E96502FBC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364416"/>
        <c:axId val="331364800"/>
      </c:lineChart>
      <c:dateAx>
        <c:axId val="33136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1648384611264075"/>
              <c:y val="0.82758620689655149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1364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Consumption (Therm)</a:t>
                </a:r>
              </a:p>
            </c:rich>
          </c:tx>
          <c:layout>
            <c:manualLayout>
              <c:xMode val="edge"/>
              <c:yMode val="edge"/>
              <c:x val="2.3547880690737787E-2"/>
              <c:y val="0.2944297082228133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1364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2145395888013992E-2"/>
          <c:y val="0.90450928381962858"/>
          <c:w val="0.86616442475940525"/>
          <c:h val="5.83554376657824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Steam Demand</a:t>
            </a:r>
          </a:p>
        </c:rich>
      </c:tx>
      <c:layout>
        <c:manualLayout>
          <c:xMode val="edge"/>
          <c:yMode val="edge"/>
          <c:x val="0.19812964785651793"/>
          <c:y val="1.77651992789157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7901457589271"/>
          <c:y val="0.16266722659667543"/>
          <c:w val="0.80685920577617365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kBTU/hr Demand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'Steam Matching'!$F$4:$F$15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E0-4B56-AACA-600698DC8F7E}"/>
            </c:ext>
          </c:extLst>
        </c:ser>
        <c:ser>
          <c:idx val="0"/>
          <c:order val="1"/>
          <c:tx>
            <c:v>Modeled kBTU/hr Demand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'Steam Matching'!$J$4:$J$15</c:f>
              <c:numCache>
                <c:formatCode>_(* #,##0_);_(* \(#,##0\);_(*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E0-4B56-AACA-600698DC8F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088416"/>
        <c:axId val="332088800"/>
      </c:lineChart>
      <c:dateAx>
        <c:axId val="33208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800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20888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Demand (kBTU/hr)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2088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5473807961504838E-2"/>
          <c:y val="0.90400223972003457"/>
          <c:w val="0.86556102362204723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Modeled versus Actual Steam Cost</a:t>
            </a:r>
          </a:p>
        </c:rich>
      </c:tx>
      <c:layout>
        <c:manualLayout>
          <c:xMode val="edge"/>
          <c:yMode val="edge"/>
          <c:x val="0.16478420170965372"/>
          <c:y val="5.09799086502087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69133956020859"/>
          <c:y val="0.16266722659667543"/>
          <c:w val="0.77954691417762711"/>
          <c:h val="0.5883084987612115"/>
        </c:manualLayout>
      </c:layout>
      <c:lineChart>
        <c:grouping val="standard"/>
        <c:varyColors val="0"/>
        <c:ser>
          <c:idx val="1"/>
          <c:order val="0"/>
          <c:tx>
            <c:v>Actual Energy Cost</c:v>
          </c:tx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errBars>
            <c:errDir val="y"/>
            <c:errBarType val="both"/>
            <c:errValType val="percentage"/>
            <c:noEndCap val="0"/>
            <c:val val="15"/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'Steam Matching'!$G$4:$G$15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1E-4FCC-A08E-96BCFE4431CE}"/>
            </c:ext>
          </c:extLst>
        </c:ser>
        <c:ser>
          <c:idx val="0"/>
          <c:order val="1"/>
          <c:tx>
            <c:v>Modeled Energy Cost</c:v>
          </c:tx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Jan</c:v>
              </c:pt>
              <c:pt idx="1">
                <c:v>Feb</c:v>
              </c:pt>
              <c:pt idx="2">
                <c:v>Mar</c:v>
              </c:pt>
              <c:pt idx="3">
                <c:v>Apr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Aug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Dec</c:v>
              </c:pt>
            </c:strLit>
          </c:cat>
          <c:val>
            <c:numRef>
              <c:f>'Steam Matching'!$K$4:$K$15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1E-4FCC-A08E-96BCFE443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698720"/>
        <c:axId val="339698328"/>
      </c:lineChart>
      <c:dateAx>
        <c:axId val="33969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</a:t>
                </a:r>
              </a:p>
            </c:rich>
          </c:tx>
          <c:layout>
            <c:manualLayout>
              <c:xMode val="edge"/>
              <c:yMode val="edge"/>
              <c:x val="0.5"/>
              <c:y val="0.82666890638670165"/>
            </c:manualLayout>
          </c:layout>
          <c:overlay val="0"/>
          <c:spPr>
            <a:noFill/>
            <a:ln w="25400">
              <a:noFill/>
            </a:ln>
          </c:spPr>
        </c:title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328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339698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Energy Cost ($)</a:t>
                </a:r>
              </a:p>
            </c:rich>
          </c:tx>
          <c:layout>
            <c:manualLayout>
              <c:xMode val="edge"/>
              <c:yMode val="edge"/>
              <c:x val="2.7075812274368404E-2"/>
              <c:y val="0.32533417322834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396987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7.3152986236659404E-2"/>
          <c:y val="0.90400223972003457"/>
          <c:w val="0.87047234018132258"/>
          <c:h val="5.86669466316710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190499</xdr:rowOff>
    </xdr:from>
    <xdr:to>
      <xdr:col>7</xdr:col>
      <xdr:colOff>0</xdr:colOff>
      <xdr:row>31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A8DB44-05F2-43AD-8BEE-B7496F221D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</xdr:colOff>
      <xdr:row>17</xdr:row>
      <xdr:rowOff>9524</xdr:rowOff>
    </xdr:from>
    <xdr:to>
      <xdr:col>14</xdr:col>
      <xdr:colOff>1</xdr:colOff>
      <xdr:row>31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7FD3E8D-D5BF-466E-9E0F-D7BF9F0042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209549</xdr:colOff>
      <xdr:row>17</xdr:row>
      <xdr:rowOff>0</xdr:rowOff>
    </xdr:from>
    <xdr:to>
      <xdr:col>21</xdr:col>
      <xdr:colOff>19050</xdr:colOff>
      <xdr:row>31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D150291-9181-4E3C-8CD6-273F16DED9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190499</xdr:rowOff>
    </xdr:from>
    <xdr:to>
      <xdr:col>7</xdr:col>
      <xdr:colOff>0</xdr:colOff>
      <xdr:row>31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FBD9C7-40D7-44E0-B85F-F218ABD8AC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</xdr:colOff>
      <xdr:row>17</xdr:row>
      <xdr:rowOff>9524</xdr:rowOff>
    </xdr:from>
    <xdr:to>
      <xdr:col>14</xdr:col>
      <xdr:colOff>1</xdr:colOff>
      <xdr:row>31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D0E1C5-A3DB-43A3-87A2-0C4772C7E8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209549</xdr:colOff>
      <xdr:row>17</xdr:row>
      <xdr:rowOff>0</xdr:rowOff>
    </xdr:from>
    <xdr:to>
      <xdr:col>21</xdr:col>
      <xdr:colOff>19050</xdr:colOff>
      <xdr:row>31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3B3E8DE-9CD8-420F-8043-11608EAD7B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190499</xdr:rowOff>
    </xdr:from>
    <xdr:to>
      <xdr:col>7</xdr:col>
      <xdr:colOff>0</xdr:colOff>
      <xdr:row>31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A906B9-3C07-4BD8-95F5-B34757A660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</xdr:colOff>
      <xdr:row>17</xdr:row>
      <xdr:rowOff>9524</xdr:rowOff>
    </xdr:from>
    <xdr:to>
      <xdr:col>14</xdr:col>
      <xdr:colOff>1</xdr:colOff>
      <xdr:row>31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F3FA52-0DB9-45CB-BE76-4CD0D38B53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209549</xdr:colOff>
      <xdr:row>17</xdr:row>
      <xdr:rowOff>0</xdr:rowOff>
    </xdr:from>
    <xdr:to>
      <xdr:col>21</xdr:col>
      <xdr:colOff>19050</xdr:colOff>
      <xdr:row>31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816BFB7-FDCF-4561-AC52-2B3176ACBC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190499</xdr:rowOff>
    </xdr:from>
    <xdr:to>
      <xdr:col>7</xdr:col>
      <xdr:colOff>0</xdr:colOff>
      <xdr:row>31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7CBACE7-BA89-401F-9FF7-94B3485C17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</xdr:colOff>
      <xdr:row>17</xdr:row>
      <xdr:rowOff>9524</xdr:rowOff>
    </xdr:from>
    <xdr:to>
      <xdr:col>14</xdr:col>
      <xdr:colOff>1</xdr:colOff>
      <xdr:row>31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08338B-7A34-469D-8E24-33621A5010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209549</xdr:colOff>
      <xdr:row>17</xdr:row>
      <xdr:rowOff>0</xdr:rowOff>
    </xdr:from>
    <xdr:to>
      <xdr:col>21</xdr:col>
      <xdr:colOff>19050</xdr:colOff>
      <xdr:row>31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E74EED1-F972-486F-9F31-AC9E3328BA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190499</xdr:rowOff>
    </xdr:from>
    <xdr:to>
      <xdr:col>7</xdr:col>
      <xdr:colOff>0</xdr:colOff>
      <xdr:row>31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0AF872-0013-4CAE-B87B-4E71E947A8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</xdr:colOff>
      <xdr:row>17</xdr:row>
      <xdr:rowOff>9524</xdr:rowOff>
    </xdr:from>
    <xdr:to>
      <xdr:col>14</xdr:col>
      <xdr:colOff>1</xdr:colOff>
      <xdr:row>31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3A2511E-77F4-4902-9AB9-2B1A1E52AA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209549</xdr:colOff>
      <xdr:row>17</xdr:row>
      <xdr:rowOff>0</xdr:rowOff>
    </xdr:from>
    <xdr:to>
      <xdr:col>21</xdr:col>
      <xdr:colOff>19050</xdr:colOff>
      <xdr:row>31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BC66BD4-493A-44C1-89C2-ECD936E4E7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S%2047Q%20-%20343Q%209%20Power%20Road,%20Queens%20-%20VS191747\Sustainability\Green\SCA\03_DD\PS%2047%20Q_%20GSG%202019_Credit%20Forms_20200224_P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 Template"/>
      <sheetName val="Checklist"/>
      <sheetName val="Documentation Checklist"/>
      <sheetName val="Project Info_Overview"/>
      <sheetName val="Project Info_Directory_Design"/>
      <sheetName val="Project Info_Directory_Cons"/>
      <sheetName val="Project Info_Required Docs"/>
      <sheetName val="Credit Compliance Narrative"/>
      <sheetName val="LL Placeholder"/>
      <sheetName val="P1.1R"/>
      <sheetName val="L1.3"/>
      <sheetName val="L1.4R"/>
      <sheetName val="L2.2"/>
      <sheetName val="S1.2R"/>
      <sheetName val="S2.1P.a"/>
      <sheetName val="S2.1P.b"/>
      <sheetName val="S2.3P, S2.4"/>
      <sheetName val="S2.5"/>
      <sheetName val="S2.6"/>
      <sheetName val="S3.2"/>
      <sheetName val="W1.1P, W1.2R"/>
      <sheetName val="W2.1P, W2.2R"/>
      <sheetName val="E2.2"/>
      <sheetName val="E3.1"/>
      <sheetName val="E6.1P"/>
      <sheetName val="E6.2A"/>
      <sheetName val="E6.3R"/>
      <sheetName val="M1.2P, M1.3R"/>
      <sheetName val="M2.1A"/>
      <sheetName val="Materials Rep &amp; Opt"/>
      <sheetName val="Contractor's Sus Mat"/>
      <sheetName val="M2.3"/>
      <sheetName val="M2.5"/>
      <sheetName val="M3.1A"/>
      <sheetName val="M3.2A"/>
      <sheetName val="Q1.1P"/>
      <sheetName val="Q2.2R"/>
      <sheetName val="Contractor's Healthy Mat"/>
      <sheetName val="Q4.1, Q4.2A "/>
      <sheetName val="Q5.1R"/>
      <sheetName val="Q6.1R"/>
      <sheetName val="Q7.2"/>
      <sheetName val="Des Team Des Phase"/>
      <sheetName val="Des Team Con Phase"/>
      <sheetName val="Contractor Cert"/>
    </sheetNames>
    <sheetDataSet>
      <sheetData sheetId="0"/>
      <sheetData sheetId="1">
        <row r="46">
          <cell r="P46"/>
        </row>
      </sheetData>
      <sheetData sheetId="2"/>
      <sheetData sheetId="3">
        <row r="10">
          <cell r="I10" t="str">
            <v xml:space="preserve">Q343 (PS 47Q) </v>
          </cell>
        </row>
        <row r="20">
          <cell r="P20">
            <v>180</v>
          </cell>
        </row>
        <row r="21">
          <cell r="P21">
            <v>30</v>
          </cell>
        </row>
      </sheetData>
      <sheetData sheetId="4">
        <row r="18">
          <cell r="H18" t="str">
            <v>Purcell Architects, PC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Filip Stoian" id="{0217648C-9999-4F86-A38F-6A27BE21D14A}" userId="S::Filip.Stoian@socotec.us::e897f7c7-8484-4aaa-aac1-4ef338e1b3e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H19" dT="2021-11-03T15:38:23.94" personId="{0217648C-9999-4F86-A38F-6A27BE21D14A}" id="{8631BC08-E462-40A4-9BBD-1A8377171E4F}">
    <text>Does not include cooking and mop sinks</text>
  </threadedComment>
  <threadedComment ref="BH34" dT="2021-11-03T15:38:52.39" personId="{0217648C-9999-4F86-A38F-6A27BE21D14A}" id="{C223F60E-5FC9-4B2E-BBA0-7ADA8560D11D}">
    <text>Does not include cooking and mop sinks</text>
  </threadedComment>
  <threadedComment ref="O53" dT="2021-11-03T16:39:01.78" personId="{0217648C-9999-4F86-A38F-6A27BE21D14A}" id="{F63FFF1E-AE45-4C45-9051-CC8043243DBE}">
    <text>assumed based on the overall building water reduction; DHW is not used for cooking food, only for washing utensils and dishes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9" dT="2022-08-10T11:52:55.16" personId="{0217648C-9999-4F86-A38F-6A27BE21D14A}" id="{A75019DE-B5A8-4813-BDE2-0EDC74D70DEB}">
    <text>Pool water temperature = 80F</text>
  </threadedComment>
</ThreadedComment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539D2-4427-4B6C-8650-C49D2800561F}">
  <sheetPr codeName="Sheet2"/>
  <dimension ref="A1:B5"/>
  <sheetViews>
    <sheetView workbookViewId="0">
      <selection activeCell="L17" sqref="L17"/>
    </sheetView>
  </sheetViews>
  <sheetFormatPr defaultRowHeight="15" x14ac:dyDescent="0.25"/>
  <cols>
    <col min="1" max="1" width="17.5703125" bestFit="1" customWidth="1"/>
    <col min="2" max="2" width="30.85546875" customWidth="1"/>
  </cols>
  <sheetData>
    <row r="1" spans="1:2" x14ac:dyDescent="0.25">
      <c r="A1" s="6" t="s">
        <v>6</v>
      </c>
      <c r="B1" s="3"/>
    </row>
    <row r="2" spans="1:2" x14ac:dyDescent="0.25">
      <c r="A2" s="6" t="s">
        <v>7</v>
      </c>
      <c r="B2" s="3"/>
    </row>
    <row r="3" spans="1:2" x14ac:dyDescent="0.25">
      <c r="A3" s="6" t="s">
        <v>8</v>
      </c>
      <c r="B3" s="3"/>
    </row>
    <row r="4" spans="1:2" x14ac:dyDescent="0.25">
      <c r="A4" s="6" t="s">
        <v>5</v>
      </c>
      <c r="B4" s="3" t="s">
        <v>93</v>
      </c>
    </row>
    <row r="5" spans="1:2" x14ac:dyDescent="0.25">
      <c r="A5" s="6" t="s">
        <v>77</v>
      </c>
      <c r="B5" s="3" t="s">
        <v>94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B4229-D2C1-41FC-9076-DABB48FC4CB4}">
  <sheetPr codeName="Sheet7">
    <tabColor rgb="FFFFC000"/>
  </sheetPr>
  <dimension ref="A1:AY142"/>
  <sheetViews>
    <sheetView topLeftCell="A41" zoomScale="85" zoomScaleNormal="85" workbookViewId="0">
      <selection activeCell="M100" sqref="M100"/>
    </sheetView>
  </sheetViews>
  <sheetFormatPr defaultRowHeight="15" x14ac:dyDescent="0.25"/>
  <cols>
    <col min="1" max="1" width="27.7109375" customWidth="1"/>
    <col min="2" max="2" width="13.28515625" customWidth="1"/>
    <col min="3" max="3" width="38.85546875" bestFit="1" customWidth="1"/>
    <col min="4" max="4" width="7.85546875" bestFit="1" customWidth="1"/>
    <col min="6" max="6" width="10.42578125" customWidth="1"/>
    <col min="7" max="8" width="8.85546875" customWidth="1"/>
    <col min="9" max="9" width="9.42578125" customWidth="1"/>
    <col min="10" max="10" width="12" customWidth="1"/>
    <col min="11" max="13" width="10.5703125" customWidth="1"/>
    <col min="14" max="14" width="37.140625" hidden="1" customWidth="1"/>
    <col min="15" max="15" width="10.28515625" hidden="1" customWidth="1"/>
    <col min="16" max="16" width="11.42578125" hidden="1" customWidth="1"/>
    <col min="17" max="17" width="11.5703125" style="189" hidden="1" customWidth="1"/>
    <col min="18" max="18" width="54.28515625" hidden="1" customWidth="1"/>
    <col min="19" max="19" width="13" hidden="1" customWidth="1"/>
    <col min="20" max="20" width="12.5703125" hidden="1" customWidth="1"/>
    <col min="21" max="21" width="12.140625" hidden="1" customWidth="1"/>
    <col min="22" max="22" width="12.42578125" hidden="1" customWidth="1"/>
    <col min="23" max="23" width="12.85546875" hidden="1" customWidth="1"/>
    <col min="24" max="24" width="13.7109375" hidden="1" customWidth="1"/>
    <col min="25" max="25" width="11.5703125" hidden="1" customWidth="1"/>
    <col min="26" max="26" width="61.85546875" hidden="1" customWidth="1"/>
    <col min="27" max="27" width="37.5703125" hidden="1" customWidth="1"/>
    <col min="28" max="50" width="9.140625" hidden="1" customWidth="1"/>
    <col min="51" max="51" width="7.85546875" hidden="1" customWidth="1"/>
  </cols>
  <sheetData>
    <row r="1" spans="1:51" ht="45.75" thickBot="1" x14ac:dyDescent="0.3">
      <c r="A1" s="80"/>
      <c r="B1" s="81" t="s">
        <v>243</v>
      </c>
      <c r="C1" s="82" t="s">
        <v>23</v>
      </c>
      <c r="D1" s="82" t="s">
        <v>244</v>
      </c>
      <c r="E1" s="82" t="s">
        <v>100</v>
      </c>
      <c r="F1" s="82" t="s">
        <v>245</v>
      </c>
      <c r="G1" s="82" t="s">
        <v>246</v>
      </c>
      <c r="H1" s="82" t="s">
        <v>247</v>
      </c>
      <c r="I1" s="82" t="s">
        <v>248</v>
      </c>
      <c r="J1" s="83" t="s">
        <v>249</v>
      </c>
      <c r="N1" s="82" t="s">
        <v>250</v>
      </c>
      <c r="O1" s="82" t="s">
        <v>251</v>
      </c>
      <c r="P1" s="82" t="s">
        <v>252</v>
      </c>
      <c r="Q1" s="82" t="s">
        <v>253</v>
      </c>
      <c r="R1" s="84" t="s">
        <v>254</v>
      </c>
      <c r="S1" s="84" t="s">
        <v>255</v>
      </c>
      <c r="T1" s="82" t="s">
        <v>256</v>
      </c>
      <c r="U1" s="84" t="s">
        <v>257</v>
      </c>
      <c r="V1" s="84" t="s">
        <v>258</v>
      </c>
      <c r="W1" s="83" t="s">
        <v>259</v>
      </c>
      <c r="X1" s="85" t="s">
        <v>260</v>
      </c>
      <c r="Y1" s="84" t="s">
        <v>261</v>
      </c>
      <c r="AA1" s="86" t="s">
        <v>262</v>
      </c>
      <c r="AB1" s="86">
        <v>1</v>
      </c>
      <c r="AC1" s="86">
        <v>2</v>
      </c>
      <c r="AD1" s="86">
        <v>3</v>
      </c>
      <c r="AE1" s="86">
        <v>4</v>
      </c>
      <c r="AF1" s="86">
        <v>5</v>
      </c>
      <c r="AG1" s="86">
        <v>6</v>
      </c>
      <c r="AH1" s="86">
        <v>7</v>
      </c>
      <c r="AI1" s="86">
        <v>8</v>
      </c>
      <c r="AJ1" s="86">
        <v>9</v>
      </c>
      <c r="AK1" s="86">
        <v>10</v>
      </c>
      <c r="AL1" s="86">
        <v>11</v>
      </c>
      <c r="AM1" s="86">
        <v>12</v>
      </c>
      <c r="AN1" s="86">
        <v>13</v>
      </c>
      <c r="AO1" s="86">
        <v>14</v>
      </c>
      <c r="AP1" s="86">
        <v>15</v>
      </c>
      <c r="AQ1" s="86">
        <v>16</v>
      </c>
      <c r="AR1" s="86">
        <v>17</v>
      </c>
      <c r="AS1" s="86">
        <v>18</v>
      </c>
      <c r="AT1" s="86">
        <v>19</v>
      </c>
      <c r="AU1" s="86">
        <v>20</v>
      </c>
      <c r="AV1" s="86">
        <v>21</v>
      </c>
      <c r="AW1" s="86">
        <v>22</v>
      </c>
      <c r="AX1" s="86">
        <v>23</v>
      </c>
      <c r="AY1" s="86">
        <v>24</v>
      </c>
    </row>
    <row r="2" spans="1:51" ht="15.75" thickBot="1" x14ac:dyDescent="0.3">
      <c r="A2" s="87"/>
      <c r="B2" s="88"/>
      <c r="C2" s="88" t="s">
        <v>184</v>
      </c>
      <c r="D2" s="88"/>
      <c r="E2" s="89"/>
      <c r="F2" s="89"/>
      <c r="G2" s="89"/>
      <c r="H2" s="89"/>
      <c r="I2" s="90"/>
      <c r="J2" s="91">
        <f>SUM(J3:J60)</f>
        <v>0</v>
      </c>
      <c r="N2" s="89"/>
      <c r="O2" s="89"/>
      <c r="P2" s="89"/>
      <c r="Q2" s="89" t="s">
        <v>100</v>
      </c>
      <c r="R2" s="92"/>
      <c r="S2" s="92"/>
      <c r="T2" s="89"/>
      <c r="U2" s="92"/>
      <c r="V2" s="55">
        <f>SUM(V3:V60)</f>
        <v>0</v>
      </c>
      <c r="W2" s="93"/>
      <c r="Y2" s="92"/>
    </row>
    <row r="3" spans="1:51" ht="15.75" thickBot="1" x14ac:dyDescent="0.3">
      <c r="A3" s="488" t="s">
        <v>151</v>
      </c>
      <c r="B3" s="94"/>
      <c r="C3" s="95" t="s">
        <v>263</v>
      </c>
      <c r="D3" s="96">
        <v>0</v>
      </c>
      <c r="E3" s="97"/>
      <c r="F3" s="98">
        <v>5.6</v>
      </c>
      <c r="G3" s="98">
        <v>120</v>
      </c>
      <c r="H3" s="98">
        <v>1</v>
      </c>
      <c r="I3" s="99">
        <f>IF(E3="",F3*G3*SQRT(H3),E3*1000)</f>
        <v>672</v>
      </c>
      <c r="J3" s="100">
        <f>D3*I3/1000</f>
        <v>0</v>
      </c>
      <c r="N3" s="95" t="s">
        <v>264</v>
      </c>
      <c r="O3" s="95" t="s">
        <v>264</v>
      </c>
      <c r="P3" s="101">
        <f>IF(N3="NA",1,INDEX($O$137:$O$142,MATCH(N3,$N$137:$N$142,0)))</f>
        <v>1</v>
      </c>
      <c r="Q3" s="102">
        <f>J3*P3</f>
        <v>0</v>
      </c>
      <c r="R3" s="101">
        <f>$O$133</f>
        <v>1</v>
      </c>
      <c r="S3" s="103" t="s">
        <v>265</v>
      </c>
      <c r="T3" s="95">
        <v>8</v>
      </c>
      <c r="U3" s="102">
        <f>D3*R3*T3*Q3*3.412*$O$129</f>
        <v>0</v>
      </c>
      <c r="V3" s="104">
        <f>U3*Y3</f>
        <v>0</v>
      </c>
      <c r="W3" s="105" t="e">
        <f>V3/$V$2</f>
        <v>#DIV/0!</v>
      </c>
      <c r="Y3" s="102">
        <f>$O$132</f>
        <v>251</v>
      </c>
      <c r="Z3">
        <f>IF(Y3=365,1,0)</f>
        <v>0</v>
      </c>
      <c r="AA3" s="86" t="str">
        <f t="shared" ref="AA3:AA60" si="0">C3</f>
        <v>Sink Agitator</v>
      </c>
      <c r="AB3" s="106"/>
      <c r="AC3" s="106"/>
      <c r="AD3" s="106"/>
      <c r="AE3" s="106"/>
      <c r="AF3" s="106"/>
      <c r="AG3" s="106"/>
      <c r="AH3" s="106"/>
      <c r="AI3" s="107">
        <f t="shared" ref="AI3:AN3" si="1">$P$3</f>
        <v>1</v>
      </c>
      <c r="AJ3" s="107">
        <f t="shared" si="1"/>
        <v>1</v>
      </c>
      <c r="AK3" s="107">
        <f t="shared" si="1"/>
        <v>1</v>
      </c>
      <c r="AL3" s="107">
        <f t="shared" si="1"/>
        <v>1</v>
      </c>
      <c r="AM3" s="107">
        <f t="shared" si="1"/>
        <v>1</v>
      </c>
      <c r="AN3" s="107">
        <f t="shared" si="1"/>
        <v>1</v>
      </c>
      <c r="AO3" s="108">
        <v>1</v>
      </c>
      <c r="AP3" s="108">
        <v>1</v>
      </c>
      <c r="AQ3" s="86"/>
      <c r="AR3" s="86"/>
      <c r="AS3" s="86"/>
      <c r="AT3" s="86"/>
      <c r="AU3" s="86"/>
      <c r="AV3" s="86"/>
      <c r="AW3" s="86"/>
      <c r="AX3" s="86"/>
      <c r="AY3" s="86"/>
    </row>
    <row r="4" spans="1:51" ht="15.75" thickBot="1" x14ac:dyDescent="0.3">
      <c r="A4" s="489"/>
      <c r="B4" s="274"/>
      <c r="C4" s="275" t="s">
        <v>416</v>
      </c>
      <c r="D4" s="276">
        <v>0</v>
      </c>
      <c r="E4" s="277"/>
      <c r="F4" s="278">
        <v>0</v>
      </c>
      <c r="G4" s="278">
        <v>0</v>
      </c>
      <c r="H4" s="278">
        <v>0</v>
      </c>
      <c r="I4" s="279">
        <v>0</v>
      </c>
      <c r="J4" s="280">
        <v>0</v>
      </c>
      <c r="N4" s="275"/>
      <c r="O4" s="275"/>
      <c r="P4" s="281"/>
      <c r="Q4" s="282"/>
      <c r="R4" s="281"/>
      <c r="S4" s="283"/>
      <c r="T4" s="275"/>
      <c r="U4" s="282"/>
      <c r="V4" s="284"/>
      <c r="W4" s="285"/>
      <c r="Y4" s="102"/>
      <c r="AA4" s="86"/>
      <c r="AB4" s="106"/>
      <c r="AC4" s="106"/>
      <c r="AD4" s="106"/>
      <c r="AE4" s="106"/>
      <c r="AF4" s="106"/>
      <c r="AG4" s="106"/>
      <c r="AH4" s="106"/>
      <c r="AI4" s="107"/>
      <c r="AJ4" s="107"/>
      <c r="AK4" s="107"/>
      <c r="AL4" s="107"/>
      <c r="AM4" s="107"/>
      <c r="AN4" s="107"/>
      <c r="AO4" s="108"/>
      <c r="AP4" s="108"/>
      <c r="AQ4" s="86"/>
      <c r="AR4" s="86"/>
      <c r="AS4" s="86"/>
      <c r="AT4" s="86"/>
      <c r="AU4" s="86"/>
      <c r="AV4" s="86"/>
      <c r="AW4" s="86"/>
      <c r="AX4" s="86"/>
      <c r="AY4" s="86"/>
    </row>
    <row r="5" spans="1:51" ht="15.75" thickBot="1" x14ac:dyDescent="0.3">
      <c r="A5" s="489"/>
      <c r="B5" s="274"/>
      <c r="C5" s="275" t="s">
        <v>436</v>
      </c>
      <c r="D5" s="276">
        <v>0</v>
      </c>
      <c r="E5" s="277"/>
      <c r="F5" s="278">
        <v>0</v>
      </c>
      <c r="G5" s="278">
        <v>0</v>
      </c>
      <c r="H5" s="278">
        <v>0</v>
      </c>
      <c r="I5" s="279">
        <v>0</v>
      </c>
      <c r="J5" s="280">
        <v>0</v>
      </c>
      <c r="N5" s="275"/>
      <c r="O5" s="275"/>
      <c r="P5" s="281"/>
      <c r="Q5" s="282"/>
      <c r="R5" s="281"/>
      <c r="S5" s="283"/>
      <c r="T5" s="275"/>
      <c r="U5" s="282"/>
      <c r="V5" s="284"/>
      <c r="W5" s="285"/>
      <c r="Y5" s="102"/>
      <c r="AA5" s="86"/>
      <c r="AB5" s="106"/>
      <c r="AC5" s="106"/>
      <c r="AD5" s="106"/>
      <c r="AE5" s="106"/>
      <c r="AF5" s="106"/>
      <c r="AG5" s="106"/>
      <c r="AH5" s="106"/>
      <c r="AI5" s="107"/>
      <c r="AJ5" s="107"/>
      <c r="AK5" s="107"/>
      <c r="AL5" s="107"/>
      <c r="AM5" s="107"/>
      <c r="AN5" s="107"/>
      <c r="AO5" s="108"/>
      <c r="AP5" s="108"/>
      <c r="AQ5" s="86"/>
      <c r="AR5" s="86"/>
      <c r="AS5" s="86"/>
      <c r="AT5" s="86"/>
      <c r="AU5" s="86"/>
      <c r="AV5" s="86"/>
      <c r="AW5" s="86"/>
      <c r="AX5" s="86"/>
      <c r="AY5" s="86"/>
    </row>
    <row r="6" spans="1:51" ht="15.75" thickBot="1" x14ac:dyDescent="0.3">
      <c r="A6" s="490"/>
      <c r="B6" s="109"/>
      <c r="C6" s="86" t="s">
        <v>266</v>
      </c>
      <c r="D6" s="110">
        <v>0</v>
      </c>
      <c r="E6" s="111">
        <v>9</v>
      </c>
      <c r="F6" s="112">
        <v>25</v>
      </c>
      <c r="G6" s="112">
        <v>208</v>
      </c>
      <c r="H6" s="112">
        <v>3</v>
      </c>
      <c r="I6" s="113">
        <f>IF(E6="",F6*G6*SQRT(H6),E6*1000)</f>
        <v>9000</v>
      </c>
      <c r="J6" s="114">
        <f t="shared" ref="J6:J60" si="2">D6*I6/1000</f>
        <v>0</v>
      </c>
      <c r="N6" s="86" t="s">
        <v>267</v>
      </c>
      <c r="O6" s="86">
        <v>130000</v>
      </c>
      <c r="P6" s="115">
        <f>IF(N6="NA",1,INDEX($O$137:$O$142,MATCH(N6,$N$137:$N$142,0)))</f>
        <v>0.1</v>
      </c>
      <c r="Q6" s="116">
        <f>J6*P6</f>
        <v>0</v>
      </c>
      <c r="R6" s="115">
        <f>$O$133</f>
        <v>1</v>
      </c>
      <c r="S6" s="117" t="s">
        <v>265</v>
      </c>
      <c r="T6" s="86">
        <v>8</v>
      </c>
      <c r="U6" s="116">
        <f>D6*R6*T6*Q6*3.412*$O$129</f>
        <v>0</v>
      </c>
      <c r="V6" s="118">
        <f>U6*Y6</f>
        <v>0</v>
      </c>
      <c r="W6" s="119" t="e">
        <f>V6/$V$2</f>
        <v>#DIV/0!</v>
      </c>
      <c r="Y6" s="102">
        <f>$O$132</f>
        <v>251</v>
      </c>
      <c r="Z6">
        <f t="shared" ref="Z6:Z60" si="3">IF(Y6=365,1,0)</f>
        <v>0</v>
      </c>
      <c r="AA6" s="86" t="str">
        <f t="shared" si="0"/>
        <v>Sink Heater</v>
      </c>
      <c r="AB6" s="106"/>
      <c r="AC6" s="106"/>
      <c r="AD6" s="106"/>
      <c r="AE6" s="106"/>
      <c r="AF6" s="106"/>
      <c r="AG6" s="106"/>
      <c r="AH6" s="106"/>
      <c r="AI6" s="107">
        <f t="shared" ref="AI6:AN6" si="4">$P$6</f>
        <v>0.1</v>
      </c>
      <c r="AJ6" s="107">
        <f t="shared" si="4"/>
        <v>0.1</v>
      </c>
      <c r="AK6" s="107">
        <f t="shared" si="4"/>
        <v>0.1</v>
      </c>
      <c r="AL6" s="107">
        <f t="shared" si="4"/>
        <v>0.1</v>
      </c>
      <c r="AM6" s="107">
        <f t="shared" si="4"/>
        <v>0.1</v>
      </c>
      <c r="AN6" s="107">
        <f t="shared" si="4"/>
        <v>0.1</v>
      </c>
      <c r="AO6" s="108">
        <v>1</v>
      </c>
      <c r="AP6" s="107">
        <f>$P$6</f>
        <v>0.1</v>
      </c>
      <c r="AQ6" s="86"/>
      <c r="AR6" s="86"/>
      <c r="AS6" s="86"/>
      <c r="AT6" s="86"/>
      <c r="AU6" s="86"/>
      <c r="AV6" s="86"/>
      <c r="AW6" s="86"/>
      <c r="AX6" s="86"/>
      <c r="AY6" s="86"/>
    </row>
    <row r="7" spans="1:51" ht="15.75" thickBot="1" x14ac:dyDescent="0.3">
      <c r="A7" s="490"/>
      <c r="B7" s="109"/>
      <c r="C7" s="86" t="s">
        <v>268</v>
      </c>
      <c r="D7" s="110">
        <v>0</v>
      </c>
      <c r="E7" s="111"/>
      <c r="F7" s="112">
        <v>10</v>
      </c>
      <c r="G7" s="112">
        <v>120</v>
      </c>
      <c r="H7" s="112">
        <v>1</v>
      </c>
      <c r="I7" s="113">
        <f>IF(E7="",F7*G7*SQRT(H7),E7*1000)</f>
        <v>1200</v>
      </c>
      <c r="J7" s="120"/>
      <c r="N7" s="86" t="s">
        <v>264</v>
      </c>
      <c r="O7" s="86" t="s">
        <v>264</v>
      </c>
      <c r="P7" s="115">
        <f>IF(N7="NA",1,INDEX($O$137:$O$142,MATCH(N7,$N$137:$N$142,0)))</f>
        <v>1</v>
      </c>
      <c r="Q7" s="116">
        <f>J7*P7</f>
        <v>0</v>
      </c>
      <c r="R7" s="115">
        <f>$O$133</f>
        <v>1</v>
      </c>
      <c r="S7" s="117" t="s">
        <v>269</v>
      </c>
      <c r="T7" s="86">
        <v>6</v>
      </c>
      <c r="U7" s="116">
        <f>D7*R7*T7*Q7*3.412*$O$129</f>
        <v>0</v>
      </c>
      <c r="V7" s="118">
        <f>U7*Y7</f>
        <v>0</v>
      </c>
      <c r="W7" s="119" t="e">
        <f>V7/$V$2</f>
        <v>#DIV/0!</v>
      </c>
      <c r="Y7" s="102">
        <f>$O$132</f>
        <v>251</v>
      </c>
      <c r="Z7">
        <f t="shared" si="3"/>
        <v>0</v>
      </c>
      <c r="AA7" s="86" t="str">
        <f t="shared" si="0"/>
        <v>Ventilator Hood</v>
      </c>
      <c r="AB7" s="106"/>
      <c r="AC7" s="106"/>
      <c r="AD7" s="106"/>
      <c r="AE7" s="106"/>
      <c r="AF7" s="106"/>
      <c r="AG7" s="106"/>
      <c r="AH7" s="106"/>
      <c r="AI7" s="106"/>
      <c r="AJ7" s="106"/>
      <c r="AK7" s="108">
        <f t="shared" ref="AK7:AP7" si="5">$P$7</f>
        <v>1</v>
      </c>
      <c r="AL7" s="108">
        <f t="shared" si="5"/>
        <v>1</v>
      </c>
      <c r="AM7" s="108">
        <f t="shared" si="5"/>
        <v>1</v>
      </c>
      <c r="AN7" s="108">
        <f t="shared" si="5"/>
        <v>1</v>
      </c>
      <c r="AO7" s="108">
        <f t="shared" si="5"/>
        <v>1</v>
      </c>
      <c r="AP7" s="108">
        <f t="shared" si="5"/>
        <v>1</v>
      </c>
      <c r="AQ7" s="116"/>
      <c r="AR7" s="116"/>
      <c r="AS7" s="116"/>
      <c r="AT7" s="116"/>
      <c r="AU7" s="116"/>
      <c r="AV7" s="116"/>
      <c r="AW7" s="116"/>
      <c r="AX7" s="116"/>
      <c r="AY7" s="116"/>
    </row>
    <row r="8" spans="1:51" ht="15.75" thickBot="1" x14ac:dyDescent="0.3">
      <c r="A8" s="490"/>
      <c r="B8" s="109"/>
      <c r="C8" s="121" t="s">
        <v>270</v>
      </c>
      <c r="D8" s="121" t="s">
        <v>271</v>
      </c>
      <c r="E8" s="121">
        <v>0</v>
      </c>
      <c r="F8" s="121"/>
      <c r="G8" s="121"/>
      <c r="H8" s="121"/>
      <c r="I8" s="122"/>
      <c r="J8" s="120"/>
      <c r="N8" s="123"/>
      <c r="O8" s="123"/>
      <c r="P8" s="124"/>
      <c r="Q8" s="125"/>
      <c r="R8" s="124"/>
      <c r="S8" s="126"/>
      <c r="T8" s="123"/>
      <c r="U8" s="125"/>
      <c r="V8" s="127"/>
      <c r="W8" s="128"/>
      <c r="Y8" s="102"/>
      <c r="Z8">
        <f t="shared" si="3"/>
        <v>0</v>
      </c>
      <c r="AA8" s="86" t="str">
        <f t="shared" si="0"/>
        <v>Hood Fire Suppression System</v>
      </c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</row>
    <row r="9" spans="1:51" ht="15.75" thickBot="1" x14ac:dyDescent="0.3">
      <c r="A9" s="490"/>
      <c r="B9" s="109"/>
      <c r="C9" s="86" t="s">
        <v>272</v>
      </c>
      <c r="D9" s="110"/>
      <c r="E9" s="111"/>
      <c r="F9" s="112">
        <v>1.8</v>
      </c>
      <c r="G9" s="112">
        <v>120</v>
      </c>
      <c r="H9" s="112">
        <v>1</v>
      </c>
      <c r="I9" s="129">
        <f t="shared" ref="I9:I49" si="6">IF(E9="",F9*G9*SQRT(H9),E9*1000)</f>
        <v>216</v>
      </c>
      <c r="J9" s="114">
        <f t="shared" si="2"/>
        <v>0</v>
      </c>
      <c r="N9" s="86" t="s">
        <v>264</v>
      </c>
      <c r="O9" s="86" t="s">
        <v>264</v>
      </c>
      <c r="P9" s="115">
        <f t="shared" ref="P9:P49" si="7">IF(N9="NA",1,INDEX($O$137:$O$142,MATCH(N9,$N$137:$N$142,0)))</f>
        <v>1</v>
      </c>
      <c r="Q9" s="116">
        <f t="shared" ref="Q9:Q49" si="8">J9*P9</f>
        <v>0</v>
      </c>
      <c r="R9" s="115">
        <f>$O$134</f>
        <v>0.3</v>
      </c>
      <c r="S9" s="117" t="s">
        <v>273</v>
      </c>
      <c r="T9" s="86">
        <v>2</v>
      </c>
      <c r="U9" s="116">
        <f t="shared" ref="U9:U40" si="9">D9*R9*T9*Q9*3.412*$O$129</f>
        <v>0</v>
      </c>
      <c r="V9" s="118">
        <f>U9*Y9</f>
        <v>0</v>
      </c>
      <c r="W9" s="119" t="e">
        <f>V9/$V$2</f>
        <v>#DIV/0!</v>
      </c>
      <c r="Y9" s="102">
        <f>$O$132</f>
        <v>251</v>
      </c>
      <c r="Z9">
        <f t="shared" si="3"/>
        <v>0</v>
      </c>
      <c r="AA9" s="86" t="str">
        <f t="shared" si="0"/>
        <v>Gas Tilt Skillet</v>
      </c>
      <c r="AB9" s="106"/>
      <c r="AC9" s="106"/>
      <c r="AD9" s="106"/>
      <c r="AE9" s="106"/>
      <c r="AF9" s="106"/>
      <c r="AG9" s="106"/>
      <c r="AH9" s="106"/>
      <c r="AI9" s="106"/>
      <c r="AJ9" s="106"/>
      <c r="AK9" s="107">
        <f>$P$9</f>
        <v>1</v>
      </c>
      <c r="AL9" s="107">
        <f>$P$9</f>
        <v>1</v>
      </c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</row>
    <row r="10" spans="1:51" ht="15.75" thickBot="1" x14ac:dyDescent="0.3">
      <c r="A10" s="490"/>
      <c r="B10" s="109"/>
      <c r="C10" s="86" t="s">
        <v>274</v>
      </c>
      <c r="D10" s="110"/>
      <c r="E10" s="111">
        <v>0.1</v>
      </c>
      <c r="F10" s="112"/>
      <c r="G10" s="112">
        <v>120</v>
      </c>
      <c r="H10" s="112">
        <v>1</v>
      </c>
      <c r="I10" s="129">
        <f t="shared" si="6"/>
        <v>100</v>
      </c>
      <c r="J10" s="114">
        <f t="shared" si="2"/>
        <v>0</v>
      </c>
      <c r="N10" s="86" t="s">
        <v>264</v>
      </c>
      <c r="O10" s="86" t="s">
        <v>264</v>
      </c>
      <c r="P10" s="115">
        <f t="shared" si="7"/>
        <v>1</v>
      </c>
      <c r="Q10" s="116">
        <f t="shared" si="8"/>
        <v>0</v>
      </c>
      <c r="R10" s="115">
        <f>$O$134</f>
        <v>0.3</v>
      </c>
      <c r="S10" s="117" t="s">
        <v>275</v>
      </c>
      <c r="T10" s="86">
        <v>6</v>
      </c>
      <c r="U10" s="116">
        <f t="shared" si="9"/>
        <v>0</v>
      </c>
      <c r="V10" s="118">
        <f t="shared" ref="V10:V49" si="10">U10*Y10</f>
        <v>0</v>
      </c>
      <c r="W10" s="119" t="e">
        <f>V10/$V$2</f>
        <v>#DIV/0!</v>
      </c>
      <c r="Y10" s="102">
        <f>$O$132</f>
        <v>251</v>
      </c>
      <c r="Z10">
        <f t="shared" si="3"/>
        <v>0</v>
      </c>
      <c r="AA10" s="86" t="str">
        <f t="shared" si="0"/>
        <v>Gas fired Steamer</v>
      </c>
      <c r="AB10" s="86"/>
      <c r="AC10" s="86"/>
      <c r="AD10" s="86"/>
      <c r="AE10" s="86"/>
      <c r="AF10" s="86"/>
      <c r="AG10" s="86"/>
      <c r="AH10" s="86"/>
      <c r="AI10" s="107">
        <f t="shared" ref="AI10:AN10" si="11">$P$10</f>
        <v>1</v>
      </c>
      <c r="AJ10" s="107">
        <f t="shared" si="11"/>
        <v>1</v>
      </c>
      <c r="AK10" s="107">
        <f t="shared" si="11"/>
        <v>1</v>
      </c>
      <c r="AL10" s="107">
        <f t="shared" si="11"/>
        <v>1</v>
      </c>
      <c r="AM10" s="107">
        <f t="shared" si="11"/>
        <v>1</v>
      </c>
      <c r="AN10" s="107">
        <f t="shared" si="11"/>
        <v>1</v>
      </c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</row>
    <row r="11" spans="1:51" ht="15.75" thickBot="1" x14ac:dyDescent="0.3">
      <c r="A11" s="490"/>
      <c r="B11" s="109"/>
      <c r="C11" s="86" t="s">
        <v>276</v>
      </c>
      <c r="D11" s="110"/>
      <c r="E11" s="111"/>
      <c r="F11" s="112">
        <v>6</v>
      </c>
      <c r="G11" s="112">
        <v>120</v>
      </c>
      <c r="H11" s="112">
        <v>1</v>
      </c>
      <c r="I11" s="129">
        <f t="shared" si="6"/>
        <v>720</v>
      </c>
      <c r="J11" s="114">
        <f t="shared" si="2"/>
        <v>0</v>
      </c>
      <c r="N11" s="86" t="s">
        <v>264</v>
      </c>
      <c r="O11" s="86" t="s">
        <v>264</v>
      </c>
      <c r="P11" s="115">
        <f t="shared" si="7"/>
        <v>1</v>
      </c>
      <c r="Q11" s="116">
        <f t="shared" si="8"/>
        <v>0</v>
      </c>
      <c r="R11" s="115">
        <f>$O$134</f>
        <v>0.3</v>
      </c>
      <c r="S11" s="117" t="s">
        <v>275</v>
      </c>
      <c r="T11" s="86">
        <v>6</v>
      </c>
      <c r="U11" s="116">
        <f t="shared" si="9"/>
        <v>0</v>
      </c>
      <c r="V11" s="118">
        <f t="shared" si="10"/>
        <v>0</v>
      </c>
      <c r="W11" s="119" t="e">
        <f>V11/$V$2</f>
        <v>#DIV/0!</v>
      </c>
      <c r="Y11" s="102">
        <f>$O$132</f>
        <v>251</v>
      </c>
      <c r="Z11">
        <f t="shared" si="3"/>
        <v>0</v>
      </c>
      <c r="AA11" s="86" t="str">
        <f t="shared" si="0"/>
        <v>Natural Gas Dbl. Deck Convection Oven</v>
      </c>
      <c r="AB11" s="86"/>
      <c r="AC11" s="86"/>
      <c r="AD11" s="86"/>
      <c r="AE11" s="86"/>
      <c r="AF11" s="86"/>
      <c r="AG11" s="86"/>
      <c r="AH11" s="86"/>
      <c r="AI11" s="107">
        <f t="shared" ref="AI11:AN11" si="12">$P$11</f>
        <v>1</v>
      </c>
      <c r="AJ11" s="107">
        <f t="shared" si="12"/>
        <v>1</v>
      </c>
      <c r="AK11" s="107">
        <f t="shared" si="12"/>
        <v>1</v>
      </c>
      <c r="AL11" s="107">
        <f t="shared" si="12"/>
        <v>1</v>
      </c>
      <c r="AM11" s="107">
        <f t="shared" si="12"/>
        <v>1</v>
      </c>
      <c r="AN11" s="107">
        <f t="shared" si="12"/>
        <v>1</v>
      </c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</row>
    <row r="12" spans="1:51" ht="15" customHeight="1" thickBot="1" x14ac:dyDescent="0.3">
      <c r="A12" s="490"/>
      <c r="B12" s="109"/>
      <c r="C12" s="86" t="s">
        <v>277</v>
      </c>
      <c r="D12" s="110"/>
      <c r="E12" s="111"/>
      <c r="F12" s="112">
        <v>15</v>
      </c>
      <c r="G12" s="112">
        <v>120</v>
      </c>
      <c r="H12" s="112">
        <v>1</v>
      </c>
      <c r="I12" s="129">
        <f t="shared" si="6"/>
        <v>1800</v>
      </c>
      <c r="J12" s="114">
        <f t="shared" si="2"/>
        <v>0</v>
      </c>
      <c r="N12" s="86" t="s">
        <v>264</v>
      </c>
      <c r="O12" s="86" t="s">
        <v>264</v>
      </c>
      <c r="P12" s="115">
        <f t="shared" si="7"/>
        <v>1</v>
      </c>
      <c r="Q12" s="116">
        <f t="shared" si="8"/>
        <v>0</v>
      </c>
      <c r="R12" s="115">
        <f>$O$134</f>
        <v>0.3</v>
      </c>
      <c r="S12" s="117" t="s">
        <v>275</v>
      </c>
      <c r="T12" s="86">
        <v>6</v>
      </c>
      <c r="U12" s="116">
        <f t="shared" si="9"/>
        <v>0</v>
      </c>
      <c r="V12" s="118">
        <f t="shared" si="10"/>
        <v>0</v>
      </c>
      <c r="W12" s="119" t="e">
        <f>V12/$V$2</f>
        <v>#DIV/0!</v>
      </c>
      <c r="Y12" s="102">
        <f>$O$132</f>
        <v>251</v>
      </c>
      <c r="Z12">
        <f t="shared" si="3"/>
        <v>0</v>
      </c>
      <c r="AA12" s="86" t="str">
        <f t="shared" si="0"/>
        <v>Natural Gas 4-Burner Range w/ Oven</v>
      </c>
      <c r="AB12" s="86"/>
      <c r="AC12" s="86"/>
      <c r="AD12" s="86"/>
      <c r="AE12" s="86"/>
      <c r="AF12" s="86"/>
      <c r="AG12" s="86"/>
      <c r="AH12" s="86"/>
      <c r="AI12" s="107">
        <f t="shared" ref="AI12:AN12" si="13">$P$12</f>
        <v>1</v>
      </c>
      <c r="AJ12" s="107">
        <f t="shared" si="13"/>
        <v>1</v>
      </c>
      <c r="AK12" s="107">
        <f t="shared" si="13"/>
        <v>1</v>
      </c>
      <c r="AL12" s="107">
        <f t="shared" si="13"/>
        <v>1</v>
      </c>
      <c r="AM12" s="107">
        <f t="shared" si="13"/>
        <v>1</v>
      </c>
      <c r="AN12" s="107">
        <f t="shared" si="13"/>
        <v>1</v>
      </c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</row>
    <row r="13" spans="1:51" ht="17.25" customHeight="1" thickBot="1" x14ac:dyDescent="0.3">
      <c r="A13" s="490"/>
      <c r="B13" s="109"/>
      <c r="C13" s="86" t="s">
        <v>278</v>
      </c>
      <c r="D13" s="110"/>
      <c r="E13" s="111"/>
      <c r="F13" s="112">
        <v>15.7</v>
      </c>
      <c r="G13" s="112">
        <v>120</v>
      </c>
      <c r="H13" s="112">
        <v>1</v>
      </c>
      <c r="I13" s="129">
        <f t="shared" si="6"/>
        <v>1884</v>
      </c>
      <c r="J13" s="114">
        <f t="shared" si="2"/>
        <v>0</v>
      </c>
      <c r="N13" s="86" t="s">
        <v>279</v>
      </c>
      <c r="O13" s="86">
        <v>2700</v>
      </c>
      <c r="P13" s="115">
        <f t="shared" si="7"/>
        <v>0.41</v>
      </c>
      <c r="Q13" s="116">
        <f t="shared" si="8"/>
        <v>0</v>
      </c>
      <c r="R13" s="115">
        <f t="shared" ref="R13:R20" si="14">$O$133</f>
        <v>1</v>
      </c>
      <c r="S13" s="117" t="s">
        <v>280</v>
      </c>
      <c r="T13" s="86">
        <v>24</v>
      </c>
      <c r="U13" s="116">
        <f t="shared" si="9"/>
        <v>0</v>
      </c>
      <c r="V13" s="118">
        <f t="shared" si="10"/>
        <v>0</v>
      </c>
      <c r="W13" s="119" t="e">
        <f>V13/$V$2</f>
        <v>#DIV/0!</v>
      </c>
      <c r="X13">
        <f t="shared" ref="X13:X16" si="15">9.89*365</f>
        <v>3609.8500000000004</v>
      </c>
      <c r="Y13" s="102">
        <v>365</v>
      </c>
      <c r="Z13">
        <f t="shared" si="3"/>
        <v>1</v>
      </c>
      <c r="AA13" s="86" t="str">
        <f t="shared" si="0"/>
        <v>Reach-In Freezer 1</v>
      </c>
      <c r="AB13" s="130">
        <v>1</v>
      </c>
      <c r="AC13" s="130">
        <v>1</v>
      </c>
      <c r="AD13" s="130">
        <v>1</v>
      </c>
      <c r="AE13" s="130">
        <v>1</v>
      </c>
      <c r="AF13" s="130">
        <v>1</v>
      </c>
      <c r="AG13" s="130">
        <v>1</v>
      </c>
      <c r="AH13" s="130">
        <v>1</v>
      </c>
      <c r="AI13" s="130">
        <v>1</v>
      </c>
      <c r="AJ13" s="130">
        <v>1</v>
      </c>
      <c r="AK13" s="130">
        <v>1</v>
      </c>
      <c r="AL13" s="130">
        <v>1</v>
      </c>
      <c r="AM13" s="130">
        <v>1</v>
      </c>
      <c r="AN13" s="130">
        <v>1</v>
      </c>
      <c r="AO13" s="130">
        <v>1</v>
      </c>
      <c r="AP13" s="130">
        <v>1</v>
      </c>
      <c r="AQ13" s="130">
        <v>1</v>
      </c>
      <c r="AR13" s="130">
        <v>1</v>
      </c>
      <c r="AS13" s="130">
        <v>1</v>
      </c>
      <c r="AT13" s="130">
        <v>1</v>
      </c>
      <c r="AU13" s="130">
        <v>1</v>
      </c>
      <c r="AV13" s="130">
        <v>1</v>
      </c>
      <c r="AW13" s="130">
        <v>1</v>
      </c>
      <c r="AX13" s="130">
        <v>1</v>
      </c>
      <c r="AY13" s="130">
        <v>1</v>
      </c>
    </row>
    <row r="14" spans="1:51" ht="18.75" customHeight="1" thickBot="1" x14ac:dyDescent="0.3">
      <c r="A14" s="490"/>
      <c r="B14" s="109"/>
      <c r="C14" s="86" t="s">
        <v>281</v>
      </c>
      <c r="D14" s="110"/>
      <c r="E14" s="111"/>
      <c r="F14" s="112">
        <v>15.7</v>
      </c>
      <c r="G14" s="112">
        <v>120</v>
      </c>
      <c r="H14" s="112">
        <v>1</v>
      </c>
      <c r="I14" s="129">
        <f t="shared" si="6"/>
        <v>1884</v>
      </c>
      <c r="J14" s="114">
        <f t="shared" si="2"/>
        <v>0</v>
      </c>
      <c r="N14" s="86" t="s">
        <v>279</v>
      </c>
      <c r="O14" s="86">
        <v>2700</v>
      </c>
      <c r="P14" s="115">
        <f t="shared" si="7"/>
        <v>0.41</v>
      </c>
      <c r="Q14" s="116">
        <f t="shared" si="8"/>
        <v>0</v>
      </c>
      <c r="R14" s="115">
        <f t="shared" si="14"/>
        <v>1</v>
      </c>
      <c r="S14" s="117" t="s">
        <v>280</v>
      </c>
      <c r="T14" s="86">
        <v>24</v>
      </c>
      <c r="U14" s="116">
        <f t="shared" si="9"/>
        <v>0</v>
      </c>
      <c r="V14" s="118">
        <f t="shared" si="10"/>
        <v>0</v>
      </c>
      <c r="W14" s="119" t="e">
        <f t="shared" ref="W14:W38" si="16">V14/$V$2</f>
        <v>#DIV/0!</v>
      </c>
      <c r="X14">
        <f t="shared" si="15"/>
        <v>3609.8500000000004</v>
      </c>
      <c r="Y14" s="102">
        <v>365</v>
      </c>
      <c r="Z14">
        <f t="shared" si="3"/>
        <v>1</v>
      </c>
      <c r="AA14" s="86" t="str">
        <f t="shared" si="0"/>
        <v>Reach-In Freezer 2</v>
      </c>
      <c r="AB14" s="130">
        <v>1</v>
      </c>
      <c r="AC14" s="130">
        <v>1</v>
      </c>
      <c r="AD14" s="130">
        <v>1</v>
      </c>
      <c r="AE14" s="130">
        <v>1</v>
      </c>
      <c r="AF14" s="130">
        <v>1</v>
      </c>
      <c r="AG14" s="130">
        <v>1</v>
      </c>
      <c r="AH14" s="130">
        <v>1</v>
      </c>
      <c r="AI14" s="130">
        <v>1</v>
      </c>
      <c r="AJ14" s="130">
        <v>1</v>
      </c>
      <c r="AK14" s="130">
        <v>1</v>
      </c>
      <c r="AL14" s="130">
        <v>1</v>
      </c>
      <c r="AM14" s="130">
        <v>1</v>
      </c>
      <c r="AN14" s="130">
        <v>1</v>
      </c>
      <c r="AO14" s="130">
        <v>1</v>
      </c>
      <c r="AP14" s="130">
        <v>1</v>
      </c>
      <c r="AQ14" s="130">
        <v>1</v>
      </c>
      <c r="AR14" s="130">
        <v>1</v>
      </c>
      <c r="AS14" s="130">
        <v>1</v>
      </c>
      <c r="AT14" s="130">
        <v>1</v>
      </c>
      <c r="AU14" s="130">
        <v>1</v>
      </c>
      <c r="AV14" s="130">
        <v>1</v>
      </c>
      <c r="AW14" s="130">
        <v>1</v>
      </c>
      <c r="AX14" s="130">
        <v>1</v>
      </c>
      <c r="AY14" s="130">
        <v>1</v>
      </c>
    </row>
    <row r="15" spans="1:51" ht="14.25" customHeight="1" thickBot="1" x14ac:dyDescent="0.3">
      <c r="A15" s="490"/>
      <c r="B15" s="109"/>
      <c r="C15" s="86" t="s">
        <v>282</v>
      </c>
      <c r="D15" s="110"/>
      <c r="E15" s="111"/>
      <c r="F15" s="112">
        <v>15.7</v>
      </c>
      <c r="G15" s="112">
        <v>120</v>
      </c>
      <c r="H15" s="112">
        <v>1</v>
      </c>
      <c r="I15" s="129">
        <f t="shared" si="6"/>
        <v>1884</v>
      </c>
      <c r="J15" s="114">
        <f t="shared" si="2"/>
        <v>0</v>
      </c>
      <c r="N15" s="86" t="s">
        <v>279</v>
      </c>
      <c r="O15" s="86">
        <v>2700</v>
      </c>
      <c r="P15" s="115">
        <f t="shared" si="7"/>
        <v>0.41</v>
      </c>
      <c r="Q15" s="116">
        <f t="shared" si="8"/>
        <v>0</v>
      </c>
      <c r="R15" s="115">
        <f t="shared" si="14"/>
        <v>1</v>
      </c>
      <c r="S15" s="117" t="s">
        <v>280</v>
      </c>
      <c r="T15" s="86">
        <v>24</v>
      </c>
      <c r="U15" s="116">
        <f t="shared" si="9"/>
        <v>0</v>
      </c>
      <c r="V15" s="118">
        <f t="shared" si="10"/>
        <v>0</v>
      </c>
      <c r="W15" s="119" t="e">
        <f t="shared" si="16"/>
        <v>#DIV/0!</v>
      </c>
      <c r="X15">
        <f t="shared" si="15"/>
        <v>3609.8500000000004</v>
      </c>
      <c r="Y15" s="102">
        <v>365</v>
      </c>
      <c r="Z15">
        <f t="shared" si="3"/>
        <v>1</v>
      </c>
      <c r="AA15" s="86" t="str">
        <f t="shared" si="0"/>
        <v>Reach-In Freezer 3</v>
      </c>
      <c r="AB15" s="130">
        <v>1</v>
      </c>
      <c r="AC15" s="130">
        <v>1</v>
      </c>
      <c r="AD15" s="130">
        <v>1</v>
      </c>
      <c r="AE15" s="130">
        <v>1</v>
      </c>
      <c r="AF15" s="130">
        <v>1</v>
      </c>
      <c r="AG15" s="130">
        <v>1</v>
      </c>
      <c r="AH15" s="130">
        <v>1</v>
      </c>
      <c r="AI15" s="130">
        <v>1</v>
      </c>
      <c r="AJ15" s="130">
        <v>1</v>
      </c>
      <c r="AK15" s="130">
        <v>1</v>
      </c>
      <c r="AL15" s="130">
        <v>1</v>
      </c>
      <c r="AM15" s="130">
        <v>1</v>
      </c>
      <c r="AN15" s="130">
        <v>1</v>
      </c>
      <c r="AO15" s="130">
        <v>1</v>
      </c>
      <c r="AP15" s="130">
        <v>1</v>
      </c>
      <c r="AQ15" s="130">
        <v>1</v>
      </c>
      <c r="AR15" s="130">
        <v>1</v>
      </c>
      <c r="AS15" s="130">
        <v>1</v>
      </c>
      <c r="AT15" s="130">
        <v>1</v>
      </c>
      <c r="AU15" s="130">
        <v>1</v>
      </c>
      <c r="AV15" s="130">
        <v>1</v>
      </c>
      <c r="AW15" s="130">
        <v>1</v>
      </c>
      <c r="AX15" s="130">
        <v>1</v>
      </c>
      <c r="AY15" s="130">
        <v>1</v>
      </c>
    </row>
    <row r="16" spans="1:51" ht="15.75" thickBot="1" x14ac:dyDescent="0.3">
      <c r="A16" s="490"/>
      <c r="B16" s="109"/>
      <c r="C16" s="86" t="s">
        <v>283</v>
      </c>
      <c r="D16" s="110"/>
      <c r="E16" s="111"/>
      <c r="F16" s="112">
        <v>9.4</v>
      </c>
      <c r="G16" s="112">
        <v>120</v>
      </c>
      <c r="H16" s="112">
        <v>1</v>
      </c>
      <c r="I16" s="129">
        <f t="shared" si="6"/>
        <v>1128</v>
      </c>
      <c r="J16" s="114">
        <f t="shared" si="2"/>
        <v>0</v>
      </c>
      <c r="N16" s="86" t="s">
        <v>279</v>
      </c>
      <c r="O16" s="86">
        <v>2700</v>
      </c>
      <c r="P16" s="115">
        <f t="shared" si="7"/>
        <v>0.41</v>
      </c>
      <c r="Q16" s="116">
        <f t="shared" si="8"/>
        <v>0</v>
      </c>
      <c r="R16" s="115">
        <f t="shared" si="14"/>
        <v>1</v>
      </c>
      <c r="S16" s="117" t="s">
        <v>280</v>
      </c>
      <c r="T16" s="86">
        <v>24</v>
      </c>
      <c r="U16" s="116">
        <f t="shared" si="9"/>
        <v>0</v>
      </c>
      <c r="V16" s="118">
        <f t="shared" si="10"/>
        <v>0</v>
      </c>
      <c r="W16" s="119" t="e">
        <f t="shared" si="16"/>
        <v>#DIV/0!</v>
      </c>
      <c r="X16">
        <f t="shared" si="15"/>
        <v>3609.8500000000004</v>
      </c>
      <c r="Y16" s="102">
        <v>365</v>
      </c>
      <c r="Z16">
        <f t="shared" si="3"/>
        <v>1</v>
      </c>
      <c r="AA16" s="86" t="str">
        <f t="shared" si="0"/>
        <v>Reach-In Freezer 4</v>
      </c>
      <c r="AB16" s="130">
        <v>1</v>
      </c>
      <c r="AC16" s="130">
        <v>1</v>
      </c>
      <c r="AD16" s="130">
        <v>1</v>
      </c>
      <c r="AE16" s="130">
        <v>1</v>
      </c>
      <c r="AF16" s="130">
        <v>1</v>
      </c>
      <c r="AG16" s="130">
        <v>1</v>
      </c>
      <c r="AH16" s="130">
        <v>1</v>
      </c>
      <c r="AI16" s="130">
        <v>1</v>
      </c>
      <c r="AJ16" s="130">
        <v>1</v>
      </c>
      <c r="AK16" s="130">
        <v>1</v>
      </c>
      <c r="AL16" s="130">
        <v>1</v>
      </c>
      <c r="AM16" s="130">
        <v>1</v>
      </c>
      <c r="AN16" s="130">
        <v>1</v>
      </c>
      <c r="AO16" s="130">
        <v>1</v>
      </c>
      <c r="AP16" s="130">
        <v>1</v>
      </c>
      <c r="AQ16" s="130">
        <v>1</v>
      </c>
      <c r="AR16" s="130">
        <v>1</v>
      </c>
      <c r="AS16" s="130">
        <v>1</v>
      </c>
      <c r="AT16" s="130">
        <v>1</v>
      </c>
      <c r="AU16" s="130">
        <v>1</v>
      </c>
      <c r="AV16" s="130">
        <v>1</v>
      </c>
      <c r="AW16" s="130">
        <v>1</v>
      </c>
      <c r="AX16" s="130">
        <v>1</v>
      </c>
      <c r="AY16" s="130">
        <v>1</v>
      </c>
    </row>
    <row r="17" spans="1:51" ht="15.75" thickBot="1" x14ac:dyDescent="0.3">
      <c r="A17" s="490"/>
      <c r="B17" s="109"/>
      <c r="C17" s="86" t="s">
        <v>284</v>
      </c>
      <c r="D17" s="110"/>
      <c r="E17" s="111"/>
      <c r="F17" s="112">
        <v>7</v>
      </c>
      <c r="G17" s="112">
        <v>120</v>
      </c>
      <c r="H17" s="112">
        <v>1</v>
      </c>
      <c r="I17" s="129">
        <f t="shared" si="6"/>
        <v>840</v>
      </c>
      <c r="J17" s="114">
        <f t="shared" si="2"/>
        <v>0</v>
      </c>
      <c r="N17" s="86" t="s">
        <v>285</v>
      </c>
      <c r="O17" s="86">
        <v>4800</v>
      </c>
      <c r="P17" s="115">
        <f t="shared" si="7"/>
        <v>0.25</v>
      </c>
      <c r="Q17" s="116">
        <f t="shared" si="8"/>
        <v>0</v>
      </c>
      <c r="R17" s="115">
        <f t="shared" si="14"/>
        <v>1</v>
      </c>
      <c r="S17" s="117" t="s">
        <v>280</v>
      </c>
      <c r="T17" s="86">
        <v>24</v>
      </c>
      <c r="U17" s="116">
        <f t="shared" si="9"/>
        <v>0</v>
      </c>
      <c r="V17" s="118">
        <f t="shared" si="10"/>
        <v>0</v>
      </c>
      <c r="W17" s="119" t="e">
        <f t="shared" si="16"/>
        <v>#DIV/0!</v>
      </c>
      <c r="X17">
        <f>2.78*365</f>
        <v>1014.6999999999999</v>
      </c>
      <c r="Y17" s="102">
        <v>365</v>
      </c>
      <c r="Z17">
        <f t="shared" si="3"/>
        <v>1</v>
      </c>
      <c r="AA17" s="86" t="str">
        <f t="shared" si="0"/>
        <v>Reach-in Refrigerator 1</v>
      </c>
      <c r="AB17" s="130">
        <v>1</v>
      </c>
      <c r="AC17" s="130">
        <v>1</v>
      </c>
      <c r="AD17" s="130">
        <v>1</v>
      </c>
      <c r="AE17" s="130">
        <v>1</v>
      </c>
      <c r="AF17" s="130">
        <v>1</v>
      </c>
      <c r="AG17" s="130">
        <v>1</v>
      </c>
      <c r="AH17" s="130">
        <v>1</v>
      </c>
      <c r="AI17" s="130">
        <v>1</v>
      </c>
      <c r="AJ17" s="130">
        <v>1</v>
      </c>
      <c r="AK17" s="130">
        <v>1</v>
      </c>
      <c r="AL17" s="130">
        <v>1</v>
      </c>
      <c r="AM17" s="130">
        <v>1</v>
      </c>
      <c r="AN17" s="130">
        <v>1</v>
      </c>
      <c r="AO17" s="130">
        <v>1</v>
      </c>
      <c r="AP17" s="130">
        <v>1</v>
      </c>
      <c r="AQ17" s="130">
        <v>1</v>
      </c>
      <c r="AR17" s="130">
        <v>1</v>
      </c>
      <c r="AS17" s="130">
        <v>1</v>
      </c>
      <c r="AT17" s="130">
        <v>1</v>
      </c>
      <c r="AU17" s="130">
        <v>1</v>
      </c>
      <c r="AV17" s="130">
        <v>1</v>
      </c>
      <c r="AW17" s="130">
        <v>1</v>
      </c>
      <c r="AX17" s="130">
        <v>1</v>
      </c>
      <c r="AY17" s="130">
        <v>1</v>
      </c>
    </row>
    <row r="18" spans="1:51" ht="15.75" thickBot="1" x14ac:dyDescent="0.3">
      <c r="A18" s="490"/>
      <c r="B18" s="109"/>
      <c r="C18" s="86" t="s">
        <v>286</v>
      </c>
      <c r="D18" s="110"/>
      <c r="E18" s="111"/>
      <c r="F18" s="112">
        <v>7</v>
      </c>
      <c r="G18" s="112">
        <v>120</v>
      </c>
      <c r="H18" s="112">
        <v>1</v>
      </c>
      <c r="I18" s="129">
        <f t="shared" si="6"/>
        <v>840</v>
      </c>
      <c r="J18" s="114">
        <f t="shared" si="2"/>
        <v>0</v>
      </c>
      <c r="N18" s="86" t="s">
        <v>285</v>
      </c>
      <c r="O18" s="86">
        <v>4800</v>
      </c>
      <c r="P18" s="115">
        <f t="shared" si="7"/>
        <v>0.25</v>
      </c>
      <c r="Q18" s="116">
        <f t="shared" si="8"/>
        <v>0</v>
      </c>
      <c r="R18" s="115">
        <f t="shared" si="14"/>
        <v>1</v>
      </c>
      <c r="S18" s="117" t="s">
        <v>280</v>
      </c>
      <c r="T18" s="86">
        <v>24</v>
      </c>
      <c r="U18" s="116">
        <f t="shared" si="9"/>
        <v>0</v>
      </c>
      <c r="V18" s="118">
        <f t="shared" si="10"/>
        <v>0</v>
      </c>
      <c r="W18" s="119" t="e">
        <f t="shared" si="16"/>
        <v>#DIV/0!</v>
      </c>
      <c r="X18">
        <f>2.78*365</f>
        <v>1014.6999999999999</v>
      </c>
      <c r="Y18" s="102">
        <v>365</v>
      </c>
      <c r="Z18">
        <f t="shared" si="3"/>
        <v>1</v>
      </c>
      <c r="AA18" s="86" t="str">
        <f t="shared" si="0"/>
        <v>Reach-in Refrigerator 2</v>
      </c>
      <c r="AB18" s="130">
        <v>1</v>
      </c>
      <c r="AC18" s="130">
        <v>1</v>
      </c>
      <c r="AD18" s="130">
        <v>1</v>
      </c>
      <c r="AE18" s="130">
        <v>1</v>
      </c>
      <c r="AF18" s="130">
        <v>1</v>
      </c>
      <c r="AG18" s="130">
        <v>1</v>
      </c>
      <c r="AH18" s="130">
        <v>1</v>
      </c>
      <c r="AI18" s="130">
        <v>1</v>
      </c>
      <c r="AJ18" s="130">
        <v>1</v>
      </c>
      <c r="AK18" s="130">
        <v>1</v>
      </c>
      <c r="AL18" s="130">
        <v>1</v>
      </c>
      <c r="AM18" s="130">
        <v>1</v>
      </c>
      <c r="AN18" s="130">
        <v>1</v>
      </c>
      <c r="AO18" s="130">
        <v>1</v>
      </c>
      <c r="AP18" s="130">
        <v>1</v>
      </c>
      <c r="AQ18" s="130">
        <v>1</v>
      </c>
      <c r="AR18" s="130">
        <v>1</v>
      </c>
      <c r="AS18" s="130">
        <v>1</v>
      </c>
      <c r="AT18" s="130">
        <v>1</v>
      </c>
      <c r="AU18" s="130">
        <v>1</v>
      </c>
      <c r="AV18" s="130">
        <v>1</v>
      </c>
      <c r="AW18" s="130">
        <v>1</v>
      </c>
      <c r="AX18" s="130">
        <v>1</v>
      </c>
      <c r="AY18" s="130">
        <v>1</v>
      </c>
    </row>
    <row r="19" spans="1:51" ht="15.75" thickBot="1" x14ac:dyDescent="0.3">
      <c r="A19" s="490"/>
      <c r="B19" s="109"/>
      <c r="C19" s="86" t="s">
        <v>287</v>
      </c>
      <c r="D19" s="110"/>
      <c r="E19" s="111"/>
      <c r="F19" s="112">
        <v>7</v>
      </c>
      <c r="G19" s="112">
        <v>120</v>
      </c>
      <c r="H19" s="112">
        <v>1</v>
      </c>
      <c r="I19" s="129">
        <f t="shared" si="6"/>
        <v>840</v>
      </c>
      <c r="J19" s="114">
        <f t="shared" si="2"/>
        <v>0</v>
      </c>
      <c r="N19" s="86" t="s">
        <v>285</v>
      </c>
      <c r="O19" s="86">
        <v>4800</v>
      </c>
      <c r="P19" s="115">
        <f t="shared" si="7"/>
        <v>0.25</v>
      </c>
      <c r="Q19" s="116">
        <f t="shared" si="8"/>
        <v>0</v>
      </c>
      <c r="R19" s="115">
        <f t="shared" si="14"/>
        <v>1</v>
      </c>
      <c r="S19" s="117" t="s">
        <v>280</v>
      </c>
      <c r="T19" s="86">
        <v>24</v>
      </c>
      <c r="U19" s="116">
        <f t="shared" si="9"/>
        <v>0</v>
      </c>
      <c r="V19" s="118">
        <f t="shared" si="10"/>
        <v>0</v>
      </c>
      <c r="W19" s="119" t="e">
        <f t="shared" si="16"/>
        <v>#DIV/0!</v>
      </c>
      <c r="X19">
        <f>2.78*365</f>
        <v>1014.6999999999999</v>
      </c>
      <c r="Y19" s="102">
        <v>365</v>
      </c>
      <c r="Z19">
        <f t="shared" si="3"/>
        <v>1</v>
      </c>
      <c r="AA19" s="86" t="str">
        <f t="shared" si="0"/>
        <v>Reach-in Refrigerator 3</v>
      </c>
      <c r="AB19" s="130">
        <v>1</v>
      </c>
      <c r="AC19" s="130">
        <v>1</v>
      </c>
      <c r="AD19" s="130">
        <v>1</v>
      </c>
      <c r="AE19" s="130">
        <v>1</v>
      </c>
      <c r="AF19" s="130">
        <v>1</v>
      </c>
      <c r="AG19" s="130">
        <v>1</v>
      </c>
      <c r="AH19" s="130">
        <v>1</v>
      </c>
      <c r="AI19" s="130">
        <v>1</v>
      </c>
      <c r="AJ19" s="130">
        <v>1</v>
      </c>
      <c r="AK19" s="130">
        <v>1</v>
      </c>
      <c r="AL19" s="130">
        <v>1</v>
      </c>
      <c r="AM19" s="130">
        <v>1</v>
      </c>
      <c r="AN19" s="130">
        <v>1</v>
      </c>
      <c r="AO19" s="130">
        <v>1</v>
      </c>
      <c r="AP19" s="130">
        <v>1</v>
      </c>
      <c r="AQ19" s="130">
        <v>1</v>
      </c>
      <c r="AR19" s="130">
        <v>1</v>
      </c>
      <c r="AS19" s="130">
        <v>1</v>
      </c>
      <c r="AT19" s="130">
        <v>1</v>
      </c>
      <c r="AU19" s="130">
        <v>1</v>
      </c>
      <c r="AV19" s="130">
        <v>1</v>
      </c>
      <c r="AW19" s="130">
        <v>1</v>
      </c>
      <c r="AX19" s="130">
        <v>1</v>
      </c>
      <c r="AY19" s="130">
        <v>1</v>
      </c>
    </row>
    <row r="20" spans="1:51" ht="15.75" thickBot="1" x14ac:dyDescent="0.3">
      <c r="A20" s="490"/>
      <c r="B20" s="109"/>
      <c r="C20" s="86" t="s">
        <v>288</v>
      </c>
      <c r="D20" s="110"/>
      <c r="E20" s="111"/>
      <c r="F20" s="112">
        <v>7</v>
      </c>
      <c r="G20" s="112">
        <v>120</v>
      </c>
      <c r="H20" s="112">
        <v>1</v>
      </c>
      <c r="I20" s="129">
        <f t="shared" si="6"/>
        <v>840</v>
      </c>
      <c r="J20" s="114">
        <f t="shared" si="2"/>
        <v>0</v>
      </c>
      <c r="N20" s="86" t="s">
        <v>285</v>
      </c>
      <c r="O20" s="86">
        <v>4800</v>
      </c>
      <c r="P20" s="115">
        <f t="shared" si="7"/>
        <v>0.25</v>
      </c>
      <c r="Q20" s="116">
        <f t="shared" si="8"/>
        <v>0</v>
      </c>
      <c r="R20" s="115">
        <f t="shared" si="14"/>
        <v>1</v>
      </c>
      <c r="S20" s="117" t="s">
        <v>280</v>
      </c>
      <c r="T20" s="86">
        <v>24</v>
      </c>
      <c r="U20" s="116">
        <f t="shared" si="9"/>
        <v>0</v>
      </c>
      <c r="V20" s="118">
        <f t="shared" si="10"/>
        <v>0</v>
      </c>
      <c r="W20" s="119" t="e">
        <f t="shared" si="16"/>
        <v>#DIV/0!</v>
      </c>
      <c r="X20">
        <f>2.78*365</f>
        <v>1014.6999999999999</v>
      </c>
      <c r="Y20" s="102">
        <v>365</v>
      </c>
      <c r="Z20">
        <f t="shared" si="3"/>
        <v>1</v>
      </c>
      <c r="AA20" s="86" t="str">
        <f t="shared" si="0"/>
        <v>Reach-in Refrigerator 4</v>
      </c>
      <c r="AB20" s="130">
        <v>1</v>
      </c>
      <c r="AC20" s="130">
        <v>1</v>
      </c>
      <c r="AD20" s="130">
        <v>1</v>
      </c>
      <c r="AE20" s="130">
        <v>1</v>
      </c>
      <c r="AF20" s="130">
        <v>1</v>
      </c>
      <c r="AG20" s="130">
        <v>1</v>
      </c>
      <c r="AH20" s="130">
        <v>1</v>
      </c>
      <c r="AI20" s="130">
        <v>1</v>
      </c>
      <c r="AJ20" s="130">
        <v>1</v>
      </c>
      <c r="AK20" s="130">
        <v>1</v>
      </c>
      <c r="AL20" s="130">
        <v>1</v>
      </c>
      <c r="AM20" s="130">
        <v>1</v>
      </c>
      <c r="AN20" s="130">
        <v>1</v>
      </c>
      <c r="AO20" s="130">
        <v>1</v>
      </c>
      <c r="AP20" s="130">
        <v>1</v>
      </c>
      <c r="AQ20" s="130">
        <v>1</v>
      </c>
      <c r="AR20" s="130">
        <v>1</v>
      </c>
      <c r="AS20" s="130">
        <v>1</v>
      </c>
      <c r="AT20" s="130">
        <v>1</v>
      </c>
      <c r="AU20" s="130">
        <v>1</v>
      </c>
      <c r="AV20" s="130">
        <v>1</v>
      </c>
      <c r="AW20" s="130">
        <v>1</v>
      </c>
      <c r="AX20" s="130">
        <v>1</v>
      </c>
      <c r="AY20" s="130">
        <v>1</v>
      </c>
    </row>
    <row r="21" spans="1:51" ht="15.75" thickBot="1" x14ac:dyDescent="0.3">
      <c r="A21" s="490"/>
      <c r="B21" s="109"/>
      <c r="C21" s="86" t="s">
        <v>289</v>
      </c>
      <c r="D21" s="110"/>
      <c r="E21" s="111">
        <v>1.5</v>
      </c>
      <c r="F21" s="112">
        <v>12</v>
      </c>
      <c r="G21" s="112">
        <v>120</v>
      </c>
      <c r="H21" s="112">
        <v>1</v>
      </c>
      <c r="I21" s="129">
        <f t="shared" si="6"/>
        <v>1500</v>
      </c>
      <c r="J21" s="114">
        <f t="shared" si="2"/>
        <v>0</v>
      </c>
      <c r="N21" s="86" t="s">
        <v>290</v>
      </c>
      <c r="O21" s="86">
        <v>6800</v>
      </c>
      <c r="P21" s="115">
        <f t="shared" si="7"/>
        <v>0.18</v>
      </c>
      <c r="Q21" s="116">
        <f t="shared" si="8"/>
        <v>0</v>
      </c>
      <c r="R21" s="115">
        <f>$O$134</f>
        <v>0.3</v>
      </c>
      <c r="S21" s="117" t="s">
        <v>291</v>
      </c>
      <c r="T21" s="86">
        <v>7</v>
      </c>
      <c r="U21" s="116">
        <f t="shared" si="9"/>
        <v>0</v>
      </c>
      <c r="V21" s="118">
        <f t="shared" si="10"/>
        <v>0</v>
      </c>
      <c r="W21" s="119" t="e">
        <f t="shared" si="16"/>
        <v>#DIV/0!</v>
      </c>
      <c r="Y21" s="102">
        <f t="shared" ref="Y21:Y32" si="17">$O$132</f>
        <v>251</v>
      </c>
      <c r="Z21">
        <f t="shared" si="3"/>
        <v>0</v>
      </c>
      <c r="AA21" s="86" t="str">
        <f t="shared" si="0"/>
        <v>Mobile Heated Cabinet 1</v>
      </c>
      <c r="AB21" s="86"/>
      <c r="AC21" s="86"/>
      <c r="AD21" s="86"/>
      <c r="AE21" s="86"/>
      <c r="AF21" s="86"/>
      <c r="AG21" s="86"/>
      <c r="AH21" s="86"/>
      <c r="AI21" s="107">
        <f>0.5*$P$21</f>
        <v>0.09</v>
      </c>
      <c r="AJ21" s="107">
        <f>$P$21</f>
        <v>0.18</v>
      </c>
      <c r="AK21" s="107">
        <f>$P$21</f>
        <v>0.18</v>
      </c>
      <c r="AL21" s="107">
        <f>$P$21</f>
        <v>0.18</v>
      </c>
      <c r="AM21" s="108">
        <v>0.5</v>
      </c>
      <c r="AN21" s="108">
        <v>1</v>
      </c>
      <c r="AO21" s="108">
        <v>1</v>
      </c>
      <c r="AP21" s="108">
        <v>1</v>
      </c>
      <c r="AQ21" s="86"/>
      <c r="AR21" s="86"/>
      <c r="AS21" s="86"/>
      <c r="AT21" s="86"/>
      <c r="AU21" s="86"/>
      <c r="AV21" s="86"/>
      <c r="AW21" s="86"/>
      <c r="AX21" s="86"/>
      <c r="AY21" s="86"/>
    </row>
    <row r="22" spans="1:51" ht="15.75" thickBot="1" x14ac:dyDescent="0.3">
      <c r="A22" s="490"/>
      <c r="B22" s="109"/>
      <c r="C22" s="86" t="s">
        <v>292</v>
      </c>
      <c r="D22" s="110"/>
      <c r="E22" s="111">
        <v>1.5</v>
      </c>
      <c r="F22" s="112">
        <v>12</v>
      </c>
      <c r="G22" s="112">
        <v>120</v>
      </c>
      <c r="H22" s="112">
        <v>1</v>
      </c>
      <c r="I22" s="129">
        <f t="shared" si="6"/>
        <v>1500</v>
      </c>
      <c r="J22" s="114">
        <f t="shared" si="2"/>
        <v>0</v>
      </c>
      <c r="N22" s="86" t="s">
        <v>290</v>
      </c>
      <c r="O22" s="86">
        <v>6800</v>
      </c>
      <c r="P22" s="115">
        <f t="shared" si="7"/>
        <v>0.18</v>
      </c>
      <c r="Q22" s="116">
        <f t="shared" si="8"/>
        <v>0</v>
      </c>
      <c r="R22" s="115">
        <f>$O$134</f>
        <v>0.3</v>
      </c>
      <c r="S22" s="117" t="s">
        <v>291</v>
      </c>
      <c r="T22" s="86">
        <v>7</v>
      </c>
      <c r="U22" s="116">
        <f t="shared" si="9"/>
        <v>0</v>
      </c>
      <c r="V22" s="118">
        <f t="shared" si="10"/>
        <v>0</v>
      </c>
      <c r="W22" s="119" t="e">
        <f t="shared" si="16"/>
        <v>#DIV/0!</v>
      </c>
      <c r="Y22" s="102">
        <f t="shared" si="17"/>
        <v>251</v>
      </c>
      <c r="Z22">
        <f t="shared" si="3"/>
        <v>0</v>
      </c>
      <c r="AA22" s="86" t="str">
        <f t="shared" si="0"/>
        <v>Mobile Heated Cabinet 2</v>
      </c>
      <c r="AB22" s="86"/>
      <c r="AC22" s="86"/>
      <c r="AD22" s="86"/>
      <c r="AE22" s="86"/>
      <c r="AF22" s="86"/>
      <c r="AG22" s="86"/>
      <c r="AH22" s="86"/>
      <c r="AI22" s="107">
        <f t="shared" ref="AI22:AI24" si="18">0.5*$P$21</f>
        <v>0.09</v>
      </c>
      <c r="AJ22" s="107">
        <f t="shared" ref="AJ22:AL24" si="19">$P$21</f>
        <v>0.18</v>
      </c>
      <c r="AK22" s="107">
        <f t="shared" si="19"/>
        <v>0.18</v>
      </c>
      <c r="AL22" s="107">
        <f t="shared" si="19"/>
        <v>0.18</v>
      </c>
      <c r="AM22" s="108">
        <v>0.5</v>
      </c>
      <c r="AN22" s="108">
        <v>1</v>
      </c>
      <c r="AO22" s="108">
        <v>1</v>
      </c>
      <c r="AP22" s="108">
        <v>1</v>
      </c>
      <c r="AQ22" s="86"/>
      <c r="AR22" s="86"/>
      <c r="AS22" s="86"/>
      <c r="AT22" s="86"/>
      <c r="AU22" s="86"/>
      <c r="AV22" s="86"/>
      <c r="AW22" s="86"/>
      <c r="AX22" s="86"/>
      <c r="AY22" s="86"/>
    </row>
    <row r="23" spans="1:51" ht="15.75" thickBot="1" x14ac:dyDescent="0.3">
      <c r="A23" s="490"/>
      <c r="B23" s="109"/>
      <c r="C23" s="86" t="s">
        <v>293</v>
      </c>
      <c r="D23" s="110"/>
      <c r="E23" s="111">
        <v>1.5</v>
      </c>
      <c r="F23" s="112">
        <v>12</v>
      </c>
      <c r="G23" s="112">
        <v>120</v>
      </c>
      <c r="H23" s="112">
        <v>1</v>
      </c>
      <c r="I23" s="129">
        <f t="shared" si="6"/>
        <v>1500</v>
      </c>
      <c r="J23" s="114">
        <f t="shared" si="2"/>
        <v>0</v>
      </c>
      <c r="N23" s="86" t="s">
        <v>290</v>
      </c>
      <c r="O23" s="86">
        <v>6800</v>
      </c>
      <c r="P23" s="115">
        <f t="shared" si="7"/>
        <v>0.18</v>
      </c>
      <c r="Q23" s="116">
        <f t="shared" si="8"/>
        <v>0</v>
      </c>
      <c r="R23" s="115">
        <f>$O$134</f>
        <v>0.3</v>
      </c>
      <c r="S23" s="117" t="s">
        <v>291</v>
      </c>
      <c r="T23" s="86">
        <v>7</v>
      </c>
      <c r="U23" s="116">
        <f t="shared" si="9"/>
        <v>0</v>
      </c>
      <c r="V23" s="118">
        <f t="shared" si="10"/>
        <v>0</v>
      </c>
      <c r="W23" s="119" t="e">
        <f t="shared" si="16"/>
        <v>#DIV/0!</v>
      </c>
      <c r="Y23" s="102">
        <f t="shared" si="17"/>
        <v>251</v>
      </c>
      <c r="Z23">
        <f t="shared" si="3"/>
        <v>0</v>
      </c>
      <c r="AA23" s="86" t="str">
        <f t="shared" si="0"/>
        <v>Mobile Heated Cabinet 3</v>
      </c>
      <c r="AB23" s="86"/>
      <c r="AC23" s="86"/>
      <c r="AD23" s="86"/>
      <c r="AE23" s="86"/>
      <c r="AF23" s="86"/>
      <c r="AG23" s="86"/>
      <c r="AH23" s="86"/>
      <c r="AI23" s="107">
        <f t="shared" si="18"/>
        <v>0.09</v>
      </c>
      <c r="AJ23" s="107">
        <f t="shared" si="19"/>
        <v>0.18</v>
      </c>
      <c r="AK23" s="107">
        <f t="shared" si="19"/>
        <v>0.18</v>
      </c>
      <c r="AL23" s="107">
        <f t="shared" si="19"/>
        <v>0.18</v>
      </c>
      <c r="AM23" s="108">
        <v>0.5</v>
      </c>
      <c r="AN23" s="108">
        <v>1</v>
      </c>
      <c r="AO23" s="108">
        <v>1</v>
      </c>
      <c r="AP23" s="108">
        <v>1</v>
      </c>
      <c r="AQ23" s="86"/>
      <c r="AR23" s="86"/>
      <c r="AS23" s="86"/>
      <c r="AT23" s="86"/>
      <c r="AU23" s="86"/>
      <c r="AV23" s="86"/>
      <c r="AW23" s="86"/>
      <c r="AX23" s="86"/>
      <c r="AY23" s="86"/>
    </row>
    <row r="24" spans="1:51" ht="15.75" thickBot="1" x14ac:dyDescent="0.3">
      <c r="A24" s="490"/>
      <c r="B24" s="109"/>
      <c r="C24" s="86" t="s">
        <v>294</v>
      </c>
      <c r="D24" s="110"/>
      <c r="E24" s="111">
        <v>1.5</v>
      </c>
      <c r="F24" s="112">
        <v>12</v>
      </c>
      <c r="G24" s="112">
        <v>120</v>
      </c>
      <c r="H24" s="112">
        <v>1</v>
      </c>
      <c r="I24" s="129">
        <f t="shared" si="6"/>
        <v>1500</v>
      </c>
      <c r="J24" s="114">
        <f t="shared" si="2"/>
        <v>0</v>
      </c>
      <c r="N24" s="86" t="s">
        <v>290</v>
      </c>
      <c r="O24" s="86">
        <v>6800</v>
      </c>
      <c r="P24" s="115">
        <f t="shared" si="7"/>
        <v>0.18</v>
      </c>
      <c r="Q24" s="116">
        <f t="shared" si="8"/>
        <v>0</v>
      </c>
      <c r="R24" s="115">
        <f>$O$134</f>
        <v>0.3</v>
      </c>
      <c r="S24" s="117" t="s">
        <v>291</v>
      </c>
      <c r="T24" s="86">
        <v>7</v>
      </c>
      <c r="U24" s="116">
        <f t="shared" si="9"/>
        <v>0</v>
      </c>
      <c r="V24" s="118">
        <f t="shared" si="10"/>
        <v>0</v>
      </c>
      <c r="W24" s="119" t="e">
        <f t="shared" si="16"/>
        <v>#DIV/0!</v>
      </c>
      <c r="Y24" s="102">
        <f t="shared" si="17"/>
        <v>251</v>
      </c>
      <c r="Z24">
        <f t="shared" si="3"/>
        <v>0</v>
      </c>
      <c r="AA24" s="86" t="str">
        <f t="shared" si="0"/>
        <v>Mobile Heated Cabinet 4</v>
      </c>
      <c r="AB24" s="86"/>
      <c r="AC24" s="86"/>
      <c r="AD24" s="86"/>
      <c r="AE24" s="86"/>
      <c r="AF24" s="86"/>
      <c r="AG24" s="86"/>
      <c r="AH24" s="86"/>
      <c r="AI24" s="107">
        <f t="shared" si="18"/>
        <v>0.09</v>
      </c>
      <c r="AJ24" s="107">
        <f t="shared" si="19"/>
        <v>0.18</v>
      </c>
      <c r="AK24" s="107">
        <f t="shared" si="19"/>
        <v>0.18</v>
      </c>
      <c r="AL24" s="107">
        <f t="shared" si="19"/>
        <v>0.18</v>
      </c>
      <c r="AM24" s="108">
        <v>0.5</v>
      </c>
      <c r="AN24" s="108">
        <v>1</v>
      </c>
      <c r="AO24" s="108">
        <v>1</v>
      </c>
      <c r="AP24" s="108">
        <v>1</v>
      </c>
      <c r="AQ24" s="86"/>
      <c r="AR24" s="86"/>
      <c r="AS24" s="86"/>
      <c r="AT24" s="86"/>
      <c r="AU24" s="86"/>
      <c r="AV24" s="86"/>
      <c r="AW24" s="86"/>
      <c r="AX24" s="86"/>
      <c r="AY24" s="86"/>
    </row>
    <row r="25" spans="1:51" ht="16.899999999999999" customHeight="1" thickBot="1" x14ac:dyDescent="0.3">
      <c r="A25" s="490"/>
      <c r="B25" s="109"/>
      <c r="C25" s="86" t="s">
        <v>295</v>
      </c>
      <c r="D25" s="110">
        <v>0</v>
      </c>
      <c r="E25" s="131"/>
      <c r="F25" s="132">
        <v>7</v>
      </c>
      <c r="G25" s="112">
        <v>120</v>
      </c>
      <c r="H25" s="112">
        <v>1</v>
      </c>
      <c r="I25" s="129">
        <f t="shared" si="6"/>
        <v>840</v>
      </c>
      <c r="J25" s="133">
        <f t="shared" si="2"/>
        <v>0</v>
      </c>
      <c r="N25" s="86" t="s">
        <v>264</v>
      </c>
      <c r="O25" s="86" t="s">
        <v>264</v>
      </c>
      <c r="P25" s="115">
        <f t="shared" si="7"/>
        <v>1</v>
      </c>
      <c r="Q25" s="116">
        <f t="shared" si="8"/>
        <v>0</v>
      </c>
      <c r="R25" s="115">
        <f t="shared" ref="R25:R34" si="20">$O$133</f>
        <v>1</v>
      </c>
      <c r="S25" s="134" t="s">
        <v>296</v>
      </c>
      <c r="T25" s="86">
        <v>2</v>
      </c>
      <c r="U25" s="116">
        <f t="shared" si="9"/>
        <v>0</v>
      </c>
      <c r="V25" s="118">
        <f t="shared" si="10"/>
        <v>0</v>
      </c>
      <c r="W25" s="119" t="e">
        <f t="shared" si="16"/>
        <v>#DIV/0!</v>
      </c>
      <c r="Y25" s="102">
        <f t="shared" si="17"/>
        <v>251</v>
      </c>
      <c r="Z25">
        <f t="shared" si="3"/>
        <v>0</v>
      </c>
      <c r="AA25" s="86" t="str">
        <f t="shared" si="0"/>
        <v>Cook's Table w/ Sink</v>
      </c>
      <c r="AB25" s="86"/>
      <c r="AC25" s="86"/>
      <c r="AD25" s="86"/>
      <c r="AE25" s="86"/>
      <c r="AF25" s="86"/>
      <c r="AG25" s="86"/>
      <c r="AH25" s="86"/>
      <c r="AI25" s="86"/>
      <c r="AJ25" s="86"/>
      <c r="AK25" s="107">
        <f>$P$25</f>
        <v>1</v>
      </c>
      <c r="AL25" s="107">
        <f>$P$25</f>
        <v>1</v>
      </c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</row>
    <row r="26" spans="1:51" ht="16.899999999999999" customHeight="1" thickBot="1" x14ac:dyDescent="0.3">
      <c r="A26" s="490"/>
      <c r="B26" s="109"/>
      <c r="C26" s="86" t="s">
        <v>297</v>
      </c>
      <c r="D26" s="110">
        <v>0</v>
      </c>
      <c r="E26" s="131"/>
      <c r="F26" s="132">
        <v>7</v>
      </c>
      <c r="G26" s="112">
        <v>120</v>
      </c>
      <c r="H26" s="112">
        <v>1</v>
      </c>
      <c r="I26" s="129">
        <f t="shared" si="6"/>
        <v>840</v>
      </c>
      <c r="J26" s="133">
        <f t="shared" si="2"/>
        <v>0</v>
      </c>
      <c r="N26" s="86" t="s">
        <v>264</v>
      </c>
      <c r="O26" s="86" t="s">
        <v>264</v>
      </c>
      <c r="P26" s="115">
        <f t="shared" si="7"/>
        <v>1</v>
      </c>
      <c r="Q26" s="116">
        <f t="shared" si="8"/>
        <v>0</v>
      </c>
      <c r="R26" s="115">
        <f t="shared" si="20"/>
        <v>1</v>
      </c>
      <c r="S26" s="134" t="s">
        <v>296</v>
      </c>
      <c r="T26" s="86">
        <v>2</v>
      </c>
      <c r="U26" s="116">
        <f t="shared" si="9"/>
        <v>0</v>
      </c>
      <c r="V26" s="118">
        <f t="shared" si="10"/>
        <v>0</v>
      </c>
      <c r="W26" s="119" t="e">
        <f t="shared" si="16"/>
        <v>#DIV/0!</v>
      </c>
      <c r="Y26" s="102">
        <f t="shared" si="17"/>
        <v>251</v>
      </c>
      <c r="Z26">
        <f t="shared" si="3"/>
        <v>0</v>
      </c>
      <c r="AA26" s="86" t="str">
        <f t="shared" si="0"/>
        <v>Work Table 1</v>
      </c>
      <c r="AB26" s="86"/>
      <c r="AC26" s="86"/>
      <c r="AD26" s="86"/>
      <c r="AE26" s="86"/>
      <c r="AF26" s="86"/>
      <c r="AG26" s="86"/>
      <c r="AH26" s="86"/>
      <c r="AI26" s="86"/>
      <c r="AJ26" s="86"/>
      <c r="AK26" s="107">
        <f>$P$28</f>
        <v>1</v>
      </c>
      <c r="AL26" s="107">
        <f>$P$28</f>
        <v>1</v>
      </c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</row>
    <row r="27" spans="1:51" ht="16.899999999999999" customHeight="1" thickBot="1" x14ac:dyDescent="0.3">
      <c r="A27" s="490"/>
      <c r="B27" s="109"/>
      <c r="C27" s="86" t="s">
        <v>298</v>
      </c>
      <c r="D27" s="110"/>
      <c r="E27" s="111"/>
      <c r="F27" s="112">
        <v>7</v>
      </c>
      <c r="G27" s="112">
        <v>120</v>
      </c>
      <c r="H27" s="112">
        <v>1</v>
      </c>
      <c r="I27" s="129">
        <f t="shared" si="6"/>
        <v>840</v>
      </c>
      <c r="J27" s="114">
        <f t="shared" si="2"/>
        <v>0</v>
      </c>
      <c r="N27" s="86" t="s">
        <v>264</v>
      </c>
      <c r="O27" s="86" t="s">
        <v>264</v>
      </c>
      <c r="P27" s="115">
        <f t="shared" si="7"/>
        <v>1</v>
      </c>
      <c r="Q27" s="116">
        <f t="shared" si="8"/>
        <v>0</v>
      </c>
      <c r="R27" s="115">
        <f t="shared" si="20"/>
        <v>1</v>
      </c>
      <c r="S27" s="134" t="s">
        <v>296</v>
      </c>
      <c r="T27" s="86">
        <v>2</v>
      </c>
      <c r="U27" s="116">
        <f t="shared" si="9"/>
        <v>0</v>
      </c>
      <c r="V27" s="118">
        <f t="shared" si="10"/>
        <v>0</v>
      </c>
      <c r="W27" s="119" t="e">
        <f t="shared" si="16"/>
        <v>#DIV/0!</v>
      </c>
      <c r="Y27" s="102">
        <f t="shared" si="17"/>
        <v>251</v>
      </c>
      <c r="Z27">
        <f t="shared" si="3"/>
        <v>0</v>
      </c>
      <c r="AA27" s="86" t="str">
        <f t="shared" si="0"/>
        <v>Work Table 2</v>
      </c>
      <c r="AB27" s="86"/>
      <c r="AC27" s="86"/>
      <c r="AD27" s="86"/>
      <c r="AE27" s="86"/>
      <c r="AF27" s="86"/>
      <c r="AG27" s="86"/>
      <c r="AH27" s="86"/>
      <c r="AI27" s="86"/>
      <c r="AJ27" s="86"/>
      <c r="AK27" s="107">
        <f>$P$29</f>
        <v>1</v>
      </c>
      <c r="AL27" s="107">
        <f>$P$29</f>
        <v>1</v>
      </c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</row>
    <row r="28" spans="1:51" ht="16.899999999999999" customHeight="1" thickBot="1" x14ac:dyDescent="0.3">
      <c r="A28" s="490"/>
      <c r="B28" s="109"/>
      <c r="C28" s="86" t="s">
        <v>299</v>
      </c>
      <c r="D28" s="110"/>
      <c r="E28" s="131"/>
      <c r="F28" s="132">
        <v>7</v>
      </c>
      <c r="G28" s="112">
        <v>120</v>
      </c>
      <c r="H28" s="112">
        <v>1</v>
      </c>
      <c r="I28" s="129">
        <f t="shared" si="6"/>
        <v>840</v>
      </c>
      <c r="J28" s="133">
        <f t="shared" si="2"/>
        <v>0</v>
      </c>
      <c r="N28" s="86" t="s">
        <v>264</v>
      </c>
      <c r="O28" s="86" t="s">
        <v>264</v>
      </c>
      <c r="P28" s="115">
        <f t="shared" si="7"/>
        <v>1</v>
      </c>
      <c r="Q28" s="116">
        <f t="shared" si="8"/>
        <v>0</v>
      </c>
      <c r="R28" s="115">
        <f t="shared" si="20"/>
        <v>1</v>
      </c>
      <c r="S28" s="134" t="s">
        <v>296</v>
      </c>
      <c r="T28" s="86">
        <v>2</v>
      </c>
      <c r="U28" s="116">
        <f t="shared" si="9"/>
        <v>0</v>
      </c>
      <c r="V28" s="118">
        <f t="shared" si="10"/>
        <v>0</v>
      </c>
      <c r="W28" s="119" t="e">
        <f t="shared" si="16"/>
        <v>#DIV/0!</v>
      </c>
      <c r="Y28" s="102">
        <f t="shared" si="17"/>
        <v>251</v>
      </c>
      <c r="Z28">
        <f t="shared" si="3"/>
        <v>0</v>
      </c>
      <c r="AA28" s="86" t="str">
        <f t="shared" si="0"/>
        <v>Work Table 3</v>
      </c>
      <c r="AB28" s="86"/>
      <c r="AC28" s="86"/>
      <c r="AD28" s="86"/>
      <c r="AE28" s="86"/>
      <c r="AF28" s="86"/>
      <c r="AG28" s="86"/>
      <c r="AH28" s="86"/>
      <c r="AI28" s="86"/>
      <c r="AJ28" s="86"/>
      <c r="AK28" s="107">
        <f>$P$28</f>
        <v>1</v>
      </c>
      <c r="AL28" s="107">
        <f>$P$28</f>
        <v>1</v>
      </c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</row>
    <row r="29" spans="1:51" ht="16.899999999999999" customHeight="1" thickBot="1" x14ac:dyDescent="0.3">
      <c r="A29" s="490"/>
      <c r="B29" s="109"/>
      <c r="C29" s="86" t="s">
        <v>300</v>
      </c>
      <c r="D29" s="110"/>
      <c r="E29" s="111"/>
      <c r="F29" s="112">
        <v>7</v>
      </c>
      <c r="G29" s="112">
        <v>120</v>
      </c>
      <c r="H29" s="112">
        <v>1</v>
      </c>
      <c r="I29" s="129">
        <f t="shared" si="6"/>
        <v>840</v>
      </c>
      <c r="J29" s="114">
        <f t="shared" si="2"/>
        <v>0</v>
      </c>
      <c r="N29" s="86" t="s">
        <v>264</v>
      </c>
      <c r="O29" s="86" t="s">
        <v>264</v>
      </c>
      <c r="P29" s="115">
        <f t="shared" si="7"/>
        <v>1</v>
      </c>
      <c r="Q29" s="116">
        <f t="shared" si="8"/>
        <v>0</v>
      </c>
      <c r="R29" s="115">
        <f t="shared" si="20"/>
        <v>1</v>
      </c>
      <c r="S29" s="134" t="s">
        <v>296</v>
      </c>
      <c r="T29" s="86">
        <v>2</v>
      </c>
      <c r="U29" s="116">
        <f t="shared" si="9"/>
        <v>0</v>
      </c>
      <c r="V29" s="118">
        <f t="shared" si="10"/>
        <v>0</v>
      </c>
      <c r="W29" s="119" t="e">
        <f t="shared" si="16"/>
        <v>#DIV/0!</v>
      </c>
      <c r="Y29" s="102">
        <f t="shared" si="17"/>
        <v>251</v>
      </c>
      <c r="Z29">
        <f t="shared" si="3"/>
        <v>0</v>
      </c>
      <c r="AA29" s="86" t="str">
        <f t="shared" si="0"/>
        <v>Work Table 4</v>
      </c>
      <c r="AB29" s="86"/>
      <c r="AC29" s="86"/>
      <c r="AD29" s="86"/>
      <c r="AE29" s="86"/>
      <c r="AF29" s="86"/>
      <c r="AG29" s="86"/>
      <c r="AH29" s="86"/>
      <c r="AI29" s="86"/>
      <c r="AJ29" s="86"/>
      <c r="AK29" s="107">
        <f>$P$29</f>
        <v>1</v>
      </c>
      <c r="AL29" s="107">
        <f>$P$29</f>
        <v>1</v>
      </c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</row>
    <row r="30" spans="1:51" ht="15.75" thickBot="1" x14ac:dyDescent="0.3">
      <c r="A30" s="490"/>
      <c r="B30" s="109"/>
      <c r="C30" s="86" t="s">
        <v>301</v>
      </c>
      <c r="D30" s="110"/>
      <c r="E30" s="111"/>
      <c r="F30" s="112">
        <v>1.2</v>
      </c>
      <c r="G30" s="112">
        <v>120</v>
      </c>
      <c r="H30" s="112">
        <v>1</v>
      </c>
      <c r="I30" s="129">
        <f t="shared" si="6"/>
        <v>144</v>
      </c>
      <c r="J30" s="114">
        <f t="shared" si="2"/>
        <v>0</v>
      </c>
      <c r="N30" s="86" t="s">
        <v>264</v>
      </c>
      <c r="O30" s="86" t="s">
        <v>264</v>
      </c>
      <c r="P30" s="115">
        <f t="shared" si="7"/>
        <v>1</v>
      </c>
      <c r="Q30" s="116">
        <f t="shared" si="8"/>
        <v>0</v>
      </c>
      <c r="R30" s="115">
        <f t="shared" si="20"/>
        <v>1</v>
      </c>
      <c r="S30" s="117" t="s">
        <v>291</v>
      </c>
      <c r="T30" s="86">
        <v>7</v>
      </c>
      <c r="U30" s="116">
        <f t="shared" si="9"/>
        <v>0</v>
      </c>
      <c r="V30" s="118">
        <f t="shared" si="10"/>
        <v>0</v>
      </c>
      <c r="W30" s="119" t="e">
        <f t="shared" si="16"/>
        <v>#DIV/0!</v>
      </c>
      <c r="Y30" s="102">
        <f t="shared" si="17"/>
        <v>251</v>
      </c>
      <c r="Z30">
        <f t="shared" si="3"/>
        <v>0</v>
      </c>
      <c r="AA30" s="86" t="str">
        <f t="shared" si="0"/>
        <v>Can Opener</v>
      </c>
      <c r="AB30" s="86"/>
      <c r="AC30" s="86"/>
      <c r="AD30" s="86"/>
      <c r="AE30" s="86"/>
      <c r="AF30" s="86"/>
      <c r="AG30" s="86"/>
      <c r="AH30" s="86"/>
      <c r="AI30" s="86"/>
      <c r="AJ30" s="86"/>
      <c r="AK30" s="107">
        <f>$P$30</f>
        <v>1</v>
      </c>
      <c r="AL30" s="107">
        <f>$P$30</f>
        <v>1</v>
      </c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</row>
    <row r="31" spans="1:51" ht="15.75" thickBot="1" x14ac:dyDescent="0.3">
      <c r="A31" s="490"/>
      <c r="B31" s="109"/>
      <c r="C31" s="86" t="s">
        <v>302</v>
      </c>
      <c r="D31" s="110"/>
      <c r="E31" s="111"/>
      <c r="F31" s="112">
        <v>6</v>
      </c>
      <c r="G31" s="112">
        <v>120</v>
      </c>
      <c r="H31" s="112">
        <v>1</v>
      </c>
      <c r="I31" s="129">
        <f t="shared" si="6"/>
        <v>720</v>
      </c>
      <c r="J31" s="114">
        <f t="shared" si="2"/>
        <v>0</v>
      </c>
      <c r="N31" s="86" t="s">
        <v>264</v>
      </c>
      <c r="O31" s="86" t="s">
        <v>264</v>
      </c>
      <c r="P31" s="115">
        <f t="shared" si="7"/>
        <v>1</v>
      </c>
      <c r="Q31" s="116">
        <f t="shared" si="8"/>
        <v>0</v>
      </c>
      <c r="R31" s="115">
        <f t="shared" si="20"/>
        <v>1</v>
      </c>
      <c r="S31" s="117" t="s">
        <v>291</v>
      </c>
      <c r="T31" s="86">
        <v>7</v>
      </c>
      <c r="U31" s="116">
        <f t="shared" si="9"/>
        <v>0</v>
      </c>
      <c r="V31" s="118">
        <f t="shared" si="10"/>
        <v>0</v>
      </c>
      <c r="W31" s="119" t="e">
        <f t="shared" si="16"/>
        <v>#DIV/0!</v>
      </c>
      <c r="Y31" s="102">
        <f t="shared" si="17"/>
        <v>251</v>
      </c>
      <c r="Z31">
        <f t="shared" si="3"/>
        <v>0</v>
      </c>
      <c r="AA31" s="86" t="str">
        <f t="shared" si="0"/>
        <v>Food Processor</v>
      </c>
      <c r="AB31" s="86"/>
      <c r="AC31" s="86"/>
      <c r="AD31" s="86"/>
      <c r="AE31" s="86"/>
      <c r="AF31" s="86"/>
      <c r="AG31" s="86"/>
      <c r="AH31" s="86"/>
      <c r="AI31" s="86"/>
      <c r="AJ31" s="86"/>
      <c r="AK31" s="107">
        <f>$P$31</f>
        <v>1</v>
      </c>
      <c r="AL31" s="107">
        <f>$P$31</f>
        <v>1</v>
      </c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</row>
    <row r="32" spans="1:51" ht="15" customHeight="1" thickBot="1" x14ac:dyDescent="0.3">
      <c r="A32" s="491"/>
      <c r="B32" s="135"/>
      <c r="C32" s="136" t="s">
        <v>303</v>
      </c>
      <c r="D32" s="137"/>
      <c r="E32" s="138"/>
      <c r="F32" s="139">
        <v>6</v>
      </c>
      <c r="G32" s="139">
        <v>120</v>
      </c>
      <c r="H32" s="139">
        <v>1</v>
      </c>
      <c r="I32" s="140">
        <f t="shared" si="6"/>
        <v>720</v>
      </c>
      <c r="J32" s="141">
        <f t="shared" si="2"/>
        <v>0</v>
      </c>
      <c r="N32" s="136" t="s">
        <v>264</v>
      </c>
      <c r="O32" s="136" t="s">
        <v>264</v>
      </c>
      <c r="P32" s="142">
        <f t="shared" si="7"/>
        <v>1</v>
      </c>
      <c r="Q32" s="143">
        <f t="shared" si="8"/>
        <v>0</v>
      </c>
      <c r="R32" s="142">
        <f t="shared" si="20"/>
        <v>1</v>
      </c>
      <c r="S32" s="144" t="s">
        <v>291</v>
      </c>
      <c r="T32" s="136">
        <v>7</v>
      </c>
      <c r="U32" s="143">
        <f t="shared" si="9"/>
        <v>0</v>
      </c>
      <c r="V32" s="145">
        <f t="shared" si="10"/>
        <v>0</v>
      </c>
      <c r="W32" s="146" t="e">
        <f t="shared" si="16"/>
        <v>#DIV/0!</v>
      </c>
      <c r="Y32" s="102">
        <f t="shared" si="17"/>
        <v>251</v>
      </c>
      <c r="Z32">
        <f t="shared" si="3"/>
        <v>0</v>
      </c>
      <c r="AA32" s="86" t="str">
        <f t="shared" si="0"/>
        <v>Slicer</v>
      </c>
      <c r="AB32" s="86"/>
      <c r="AC32" s="86"/>
      <c r="AD32" s="86"/>
      <c r="AE32" s="86"/>
      <c r="AF32" s="86"/>
      <c r="AG32" s="86"/>
      <c r="AH32" s="86"/>
      <c r="AI32" s="86"/>
      <c r="AJ32" s="86"/>
      <c r="AK32" s="107">
        <f>$P$32</f>
        <v>1</v>
      </c>
      <c r="AL32" s="107">
        <f>$P$32</f>
        <v>1</v>
      </c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</row>
    <row r="33" spans="1:51" ht="15.75" thickBot="1" x14ac:dyDescent="0.3">
      <c r="A33" s="149" t="s">
        <v>313</v>
      </c>
      <c r="B33" s="150"/>
      <c r="C33" s="162" t="s">
        <v>314</v>
      </c>
      <c r="D33" s="150"/>
      <c r="E33" s="163"/>
      <c r="F33" s="164">
        <v>12</v>
      </c>
      <c r="G33" s="164">
        <v>120</v>
      </c>
      <c r="H33" s="164">
        <v>1</v>
      </c>
      <c r="I33" s="165">
        <f t="shared" si="6"/>
        <v>1440</v>
      </c>
      <c r="J33" s="166">
        <f t="shared" si="2"/>
        <v>0</v>
      </c>
      <c r="N33" s="156" t="s">
        <v>315</v>
      </c>
      <c r="O33" s="156">
        <v>6100</v>
      </c>
      <c r="P33" s="157">
        <f t="shared" si="7"/>
        <v>0.49</v>
      </c>
      <c r="Q33" s="158">
        <f t="shared" si="8"/>
        <v>0</v>
      </c>
      <c r="R33" s="157">
        <f t="shared" si="20"/>
        <v>1</v>
      </c>
      <c r="S33" s="167"/>
      <c r="T33" s="156">
        <v>2</v>
      </c>
      <c r="U33" s="158">
        <f t="shared" si="9"/>
        <v>0</v>
      </c>
      <c r="V33" s="160">
        <f t="shared" si="10"/>
        <v>0</v>
      </c>
      <c r="W33" s="161" t="e">
        <f t="shared" si="16"/>
        <v>#DIV/0!</v>
      </c>
      <c r="Y33" s="102">
        <f>$O$132</f>
        <v>251</v>
      </c>
      <c r="Z33">
        <f t="shared" si="3"/>
        <v>0</v>
      </c>
      <c r="AA33" s="86" t="str">
        <f t="shared" si="0"/>
        <v>Power Wash Station</v>
      </c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168">
        <f>0.01*P33</f>
        <v>4.8999999999999998E-3</v>
      </c>
      <c r="AP33" s="86"/>
      <c r="AQ33" s="86"/>
      <c r="AR33" s="86"/>
      <c r="AS33" s="86"/>
      <c r="AT33" s="86"/>
      <c r="AU33" s="86"/>
      <c r="AV33" s="86"/>
      <c r="AW33" s="86"/>
      <c r="AX33" s="86"/>
      <c r="AY33" s="86"/>
    </row>
    <row r="34" spans="1:51" ht="15.75" thickBot="1" x14ac:dyDescent="0.3">
      <c r="A34" s="169" t="s">
        <v>316</v>
      </c>
      <c r="B34" s="150"/>
      <c r="C34" s="162" t="s">
        <v>317</v>
      </c>
      <c r="D34" s="150">
        <v>0</v>
      </c>
      <c r="E34" s="163"/>
      <c r="F34" s="164">
        <v>10</v>
      </c>
      <c r="G34" s="164">
        <v>120</v>
      </c>
      <c r="H34" s="164">
        <v>1</v>
      </c>
      <c r="I34" s="165">
        <f t="shared" si="6"/>
        <v>1200</v>
      </c>
      <c r="J34" s="166">
        <f t="shared" si="2"/>
        <v>0</v>
      </c>
      <c r="N34" s="156" t="s">
        <v>264</v>
      </c>
      <c r="O34" s="156" t="s">
        <v>264</v>
      </c>
      <c r="P34" s="157">
        <f t="shared" si="7"/>
        <v>1</v>
      </c>
      <c r="Q34" s="158">
        <f t="shared" si="8"/>
        <v>0</v>
      </c>
      <c r="R34" s="157">
        <f t="shared" si="20"/>
        <v>1</v>
      </c>
      <c r="S34" s="159" t="s">
        <v>280</v>
      </c>
      <c r="T34" s="156">
        <v>24</v>
      </c>
      <c r="U34" s="158">
        <f t="shared" si="9"/>
        <v>0</v>
      </c>
      <c r="V34" s="160">
        <f t="shared" si="10"/>
        <v>0</v>
      </c>
      <c r="W34" s="161" t="e">
        <f t="shared" si="16"/>
        <v>#DIV/0!</v>
      </c>
      <c r="Y34" s="102">
        <v>365</v>
      </c>
      <c r="Z34">
        <f t="shared" si="3"/>
        <v>1</v>
      </c>
      <c r="AA34" s="86" t="str">
        <f t="shared" si="0"/>
        <v>Time Card Recorder W/ Card Racks</v>
      </c>
      <c r="AB34" s="148">
        <f t="shared" ref="AB34:AY34" si="21">$P$34</f>
        <v>1</v>
      </c>
      <c r="AC34" s="148">
        <f t="shared" si="21"/>
        <v>1</v>
      </c>
      <c r="AD34" s="148">
        <f t="shared" si="21"/>
        <v>1</v>
      </c>
      <c r="AE34" s="148">
        <f t="shared" si="21"/>
        <v>1</v>
      </c>
      <c r="AF34" s="148">
        <f t="shared" si="21"/>
        <v>1</v>
      </c>
      <c r="AG34" s="148">
        <f t="shared" si="21"/>
        <v>1</v>
      </c>
      <c r="AH34" s="148">
        <f t="shared" si="21"/>
        <v>1</v>
      </c>
      <c r="AI34" s="148">
        <f t="shared" si="21"/>
        <v>1</v>
      </c>
      <c r="AJ34" s="148">
        <f t="shared" si="21"/>
        <v>1</v>
      </c>
      <c r="AK34" s="148">
        <f t="shared" si="21"/>
        <v>1</v>
      </c>
      <c r="AL34" s="148">
        <f t="shared" si="21"/>
        <v>1</v>
      </c>
      <c r="AM34" s="148">
        <f t="shared" si="21"/>
        <v>1</v>
      </c>
      <c r="AN34" s="148">
        <f t="shared" si="21"/>
        <v>1</v>
      </c>
      <c r="AO34" s="148">
        <f t="shared" si="21"/>
        <v>1</v>
      </c>
      <c r="AP34" s="148">
        <f t="shared" si="21"/>
        <v>1</v>
      </c>
      <c r="AQ34" s="148">
        <f t="shared" si="21"/>
        <v>1</v>
      </c>
      <c r="AR34" s="148">
        <f t="shared" si="21"/>
        <v>1</v>
      </c>
      <c r="AS34" s="148">
        <f t="shared" si="21"/>
        <v>1</v>
      </c>
      <c r="AT34" s="148">
        <f t="shared" si="21"/>
        <v>1</v>
      </c>
      <c r="AU34" s="148">
        <f t="shared" si="21"/>
        <v>1</v>
      </c>
      <c r="AV34" s="148">
        <f t="shared" si="21"/>
        <v>1</v>
      </c>
      <c r="AW34" s="148">
        <f t="shared" si="21"/>
        <v>1</v>
      </c>
      <c r="AX34" s="148">
        <f t="shared" si="21"/>
        <v>1</v>
      </c>
      <c r="AY34" s="148">
        <f t="shared" si="21"/>
        <v>1</v>
      </c>
    </row>
    <row r="35" spans="1:51" ht="15" customHeight="1" thickBot="1" x14ac:dyDescent="0.3">
      <c r="A35" s="488" t="s">
        <v>318</v>
      </c>
      <c r="B35" s="94"/>
      <c r="C35" s="95" t="s">
        <v>289</v>
      </c>
      <c r="D35" s="96"/>
      <c r="E35" s="97">
        <v>1.5</v>
      </c>
      <c r="F35" s="98">
        <v>12</v>
      </c>
      <c r="G35" s="98">
        <v>120</v>
      </c>
      <c r="H35" s="98">
        <v>1</v>
      </c>
      <c r="I35" s="170">
        <f t="shared" si="6"/>
        <v>1500</v>
      </c>
      <c r="J35" s="100">
        <f t="shared" si="2"/>
        <v>0</v>
      </c>
      <c r="N35" s="95" t="s">
        <v>290</v>
      </c>
      <c r="O35" s="95">
        <v>6800</v>
      </c>
      <c r="P35" s="101">
        <f t="shared" si="7"/>
        <v>0.18</v>
      </c>
      <c r="Q35" s="102">
        <f t="shared" si="8"/>
        <v>0</v>
      </c>
      <c r="R35" s="101">
        <f>$O$134</f>
        <v>0.3</v>
      </c>
      <c r="S35" s="103" t="s">
        <v>291</v>
      </c>
      <c r="T35" s="95">
        <v>7</v>
      </c>
      <c r="U35" s="102">
        <f t="shared" si="9"/>
        <v>0</v>
      </c>
      <c r="V35" s="104">
        <f t="shared" si="10"/>
        <v>0</v>
      </c>
      <c r="W35" s="105" t="e">
        <f t="shared" si="16"/>
        <v>#DIV/0!</v>
      </c>
      <c r="Y35" s="102">
        <f>$O$132</f>
        <v>251</v>
      </c>
      <c r="Z35">
        <f t="shared" si="3"/>
        <v>0</v>
      </c>
      <c r="AA35" s="86" t="str">
        <f t="shared" si="0"/>
        <v>Mobile Heated Cabinet 1</v>
      </c>
      <c r="AB35" s="86"/>
      <c r="AC35" s="86"/>
      <c r="AD35" s="86"/>
      <c r="AE35" s="86"/>
      <c r="AF35" s="86"/>
      <c r="AG35" s="86"/>
      <c r="AH35" s="86"/>
      <c r="AI35" s="107">
        <f>0.5*$P$35</f>
        <v>0.09</v>
      </c>
      <c r="AJ35" s="107">
        <f t="shared" ref="AJ35:AL38" si="22">$P$35</f>
        <v>0.18</v>
      </c>
      <c r="AK35" s="107">
        <f t="shared" si="22"/>
        <v>0.18</v>
      </c>
      <c r="AL35" s="107">
        <f t="shared" si="22"/>
        <v>0.18</v>
      </c>
      <c r="AM35" s="108">
        <v>0.5</v>
      </c>
      <c r="AN35" s="108">
        <v>1</v>
      </c>
      <c r="AO35" s="108">
        <v>1</v>
      </c>
      <c r="AP35" s="108">
        <v>1</v>
      </c>
      <c r="AQ35" s="86"/>
      <c r="AR35" s="86"/>
      <c r="AS35" s="86"/>
      <c r="AT35" s="86"/>
      <c r="AU35" s="86"/>
      <c r="AV35" s="86"/>
      <c r="AW35" s="86"/>
      <c r="AX35" s="86"/>
      <c r="AY35" s="86"/>
    </row>
    <row r="36" spans="1:51" ht="15" customHeight="1" thickBot="1" x14ac:dyDescent="0.3">
      <c r="A36" s="489"/>
      <c r="B36" s="109"/>
      <c r="C36" s="86" t="s">
        <v>292</v>
      </c>
      <c r="D36" s="110"/>
      <c r="E36" s="111">
        <v>1.5</v>
      </c>
      <c r="F36" s="112">
        <v>12</v>
      </c>
      <c r="G36" s="112">
        <v>120</v>
      </c>
      <c r="H36" s="112">
        <v>1</v>
      </c>
      <c r="I36" s="113">
        <f t="shared" si="6"/>
        <v>1500</v>
      </c>
      <c r="J36" s="114">
        <f t="shared" si="2"/>
        <v>0</v>
      </c>
      <c r="N36" s="86" t="s">
        <v>290</v>
      </c>
      <c r="O36" s="86">
        <v>6800</v>
      </c>
      <c r="P36" s="115">
        <f t="shared" si="7"/>
        <v>0.18</v>
      </c>
      <c r="Q36" s="116">
        <f t="shared" si="8"/>
        <v>0</v>
      </c>
      <c r="R36" s="115">
        <f>$O$134</f>
        <v>0.3</v>
      </c>
      <c r="S36" s="117" t="s">
        <v>291</v>
      </c>
      <c r="T36" s="86">
        <v>7</v>
      </c>
      <c r="U36" s="116">
        <f t="shared" si="9"/>
        <v>0</v>
      </c>
      <c r="V36" s="118">
        <f t="shared" si="10"/>
        <v>0</v>
      </c>
      <c r="W36" s="119" t="e">
        <f t="shared" si="16"/>
        <v>#DIV/0!</v>
      </c>
      <c r="Y36" s="102">
        <f>$O$132</f>
        <v>251</v>
      </c>
      <c r="Z36">
        <f t="shared" si="3"/>
        <v>0</v>
      </c>
      <c r="AA36" s="86" t="str">
        <f t="shared" si="0"/>
        <v>Mobile Heated Cabinet 2</v>
      </c>
      <c r="AB36" s="86"/>
      <c r="AC36" s="86"/>
      <c r="AD36" s="86"/>
      <c r="AE36" s="86"/>
      <c r="AF36" s="86"/>
      <c r="AG36" s="86"/>
      <c r="AH36" s="86"/>
      <c r="AI36" s="107">
        <f>0.5*$P$35</f>
        <v>0.09</v>
      </c>
      <c r="AJ36" s="107">
        <f t="shared" si="22"/>
        <v>0.18</v>
      </c>
      <c r="AK36" s="107">
        <f t="shared" si="22"/>
        <v>0.18</v>
      </c>
      <c r="AL36" s="107">
        <f t="shared" si="22"/>
        <v>0.18</v>
      </c>
      <c r="AM36" s="108">
        <v>0.5</v>
      </c>
      <c r="AN36" s="108">
        <v>1</v>
      </c>
      <c r="AO36" s="108">
        <v>1</v>
      </c>
      <c r="AP36" s="108">
        <v>1</v>
      </c>
      <c r="AQ36" s="86"/>
      <c r="AR36" s="86"/>
      <c r="AS36" s="86"/>
      <c r="AT36" s="86"/>
      <c r="AU36" s="86"/>
      <c r="AV36" s="86"/>
      <c r="AW36" s="86"/>
      <c r="AX36" s="86"/>
      <c r="AY36" s="86"/>
    </row>
    <row r="37" spans="1:51" ht="15" customHeight="1" thickBot="1" x14ac:dyDescent="0.3">
      <c r="A37" s="489"/>
      <c r="B37" s="109"/>
      <c r="C37" s="86" t="s">
        <v>293</v>
      </c>
      <c r="D37" s="110"/>
      <c r="E37" s="111">
        <v>1.5</v>
      </c>
      <c r="F37" s="112">
        <v>12</v>
      </c>
      <c r="G37" s="112">
        <v>120</v>
      </c>
      <c r="H37" s="112">
        <v>1</v>
      </c>
      <c r="I37" s="113">
        <f t="shared" si="6"/>
        <v>1500</v>
      </c>
      <c r="J37" s="114">
        <f t="shared" si="2"/>
        <v>0</v>
      </c>
      <c r="N37" s="86" t="s">
        <v>290</v>
      </c>
      <c r="O37" s="86">
        <v>6800</v>
      </c>
      <c r="P37" s="115">
        <f t="shared" si="7"/>
        <v>0.18</v>
      </c>
      <c r="Q37" s="116">
        <f t="shared" si="8"/>
        <v>0</v>
      </c>
      <c r="R37" s="115">
        <f>$O$134</f>
        <v>0.3</v>
      </c>
      <c r="S37" s="117" t="s">
        <v>291</v>
      </c>
      <c r="T37" s="86">
        <v>7</v>
      </c>
      <c r="U37" s="116">
        <f t="shared" si="9"/>
        <v>0</v>
      </c>
      <c r="V37" s="118">
        <f t="shared" si="10"/>
        <v>0</v>
      </c>
      <c r="W37" s="119" t="e">
        <f t="shared" si="16"/>
        <v>#DIV/0!</v>
      </c>
      <c r="Y37" s="102">
        <f>$O$132</f>
        <v>251</v>
      </c>
      <c r="Z37">
        <f t="shared" si="3"/>
        <v>0</v>
      </c>
      <c r="AA37" s="86" t="str">
        <f t="shared" si="0"/>
        <v>Mobile Heated Cabinet 3</v>
      </c>
      <c r="AB37" s="86"/>
      <c r="AC37" s="86"/>
      <c r="AD37" s="86"/>
      <c r="AE37" s="86"/>
      <c r="AF37" s="86"/>
      <c r="AG37" s="86"/>
      <c r="AH37" s="86"/>
      <c r="AI37" s="107">
        <f t="shared" ref="AI37:AI38" si="23">0.5*$P$35</f>
        <v>0.09</v>
      </c>
      <c r="AJ37" s="107">
        <f t="shared" si="22"/>
        <v>0.18</v>
      </c>
      <c r="AK37" s="107">
        <f t="shared" si="22"/>
        <v>0.18</v>
      </c>
      <c r="AL37" s="107">
        <f t="shared" si="22"/>
        <v>0.18</v>
      </c>
      <c r="AM37" s="108">
        <v>0.5</v>
      </c>
      <c r="AN37" s="108">
        <v>1</v>
      </c>
      <c r="AO37" s="108">
        <v>1</v>
      </c>
      <c r="AP37" s="108">
        <v>1</v>
      </c>
      <c r="AQ37" s="86"/>
      <c r="AR37" s="86"/>
      <c r="AS37" s="86"/>
      <c r="AT37" s="86"/>
      <c r="AU37" s="86"/>
      <c r="AV37" s="86"/>
      <c r="AW37" s="86"/>
      <c r="AX37" s="86"/>
      <c r="AY37" s="86"/>
    </row>
    <row r="38" spans="1:51" ht="15" customHeight="1" thickBot="1" x14ac:dyDescent="0.3">
      <c r="A38" s="489"/>
      <c r="B38" s="109"/>
      <c r="C38" s="86" t="s">
        <v>294</v>
      </c>
      <c r="D38" s="110"/>
      <c r="E38" s="111">
        <v>1.5</v>
      </c>
      <c r="F38" s="112">
        <v>12</v>
      </c>
      <c r="G38" s="112">
        <v>120</v>
      </c>
      <c r="H38" s="112">
        <v>1</v>
      </c>
      <c r="I38" s="113">
        <f t="shared" si="6"/>
        <v>1500</v>
      </c>
      <c r="J38" s="114">
        <f t="shared" si="2"/>
        <v>0</v>
      </c>
      <c r="N38" s="86" t="s">
        <v>290</v>
      </c>
      <c r="O38" s="86">
        <v>6800</v>
      </c>
      <c r="P38" s="115">
        <f t="shared" si="7"/>
        <v>0.18</v>
      </c>
      <c r="Q38" s="116">
        <f t="shared" si="8"/>
        <v>0</v>
      </c>
      <c r="R38" s="115">
        <f>$O$134</f>
        <v>0.3</v>
      </c>
      <c r="S38" s="117" t="s">
        <v>291</v>
      </c>
      <c r="T38" s="86">
        <v>7</v>
      </c>
      <c r="U38" s="116">
        <f t="shared" si="9"/>
        <v>0</v>
      </c>
      <c r="V38" s="118">
        <f t="shared" si="10"/>
        <v>0</v>
      </c>
      <c r="W38" s="119" t="e">
        <f t="shared" si="16"/>
        <v>#DIV/0!</v>
      </c>
      <c r="Y38" s="102">
        <f>$O$132</f>
        <v>251</v>
      </c>
      <c r="Z38">
        <f t="shared" si="3"/>
        <v>0</v>
      </c>
      <c r="AA38" s="86" t="str">
        <f t="shared" si="0"/>
        <v>Mobile Heated Cabinet 4</v>
      </c>
      <c r="AB38" s="86"/>
      <c r="AC38" s="86"/>
      <c r="AD38" s="86"/>
      <c r="AE38" s="86"/>
      <c r="AF38" s="86"/>
      <c r="AG38" s="86"/>
      <c r="AH38" s="86"/>
      <c r="AI38" s="107">
        <f t="shared" si="23"/>
        <v>0.09</v>
      </c>
      <c r="AJ38" s="107">
        <f t="shared" si="22"/>
        <v>0.18</v>
      </c>
      <c r="AK38" s="107">
        <f t="shared" si="22"/>
        <v>0.18</v>
      </c>
      <c r="AL38" s="107">
        <f t="shared" si="22"/>
        <v>0.18</v>
      </c>
      <c r="AM38" s="108">
        <v>0.5</v>
      </c>
      <c r="AN38" s="108">
        <v>1</v>
      </c>
      <c r="AO38" s="108">
        <v>1</v>
      </c>
      <c r="AP38" s="108">
        <v>1</v>
      </c>
      <c r="AQ38" s="86"/>
      <c r="AR38" s="86"/>
      <c r="AS38" s="86"/>
      <c r="AT38" s="86"/>
      <c r="AU38" s="86"/>
      <c r="AV38" s="86"/>
      <c r="AW38" s="86"/>
      <c r="AX38" s="86"/>
      <c r="AY38" s="86"/>
    </row>
    <row r="39" spans="1:51" ht="15" customHeight="1" thickBot="1" x14ac:dyDescent="0.3">
      <c r="A39" s="490"/>
      <c r="B39" s="109"/>
      <c r="C39" s="86" t="s">
        <v>284</v>
      </c>
      <c r="D39" s="110"/>
      <c r="E39" s="111"/>
      <c r="F39" s="112">
        <v>8.1999999999999993</v>
      </c>
      <c r="G39" s="112">
        <v>120</v>
      </c>
      <c r="H39" s="112">
        <v>1</v>
      </c>
      <c r="I39" s="113">
        <f t="shared" si="6"/>
        <v>983.99999999999989</v>
      </c>
      <c r="J39" s="114">
        <f t="shared" si="2"/>
        <v>0</v>
      </c>
      <c r="N39" s="86" t="s">
        <v>285</v>
      </c>
      <c r="O39" s="86">
        <v>4800</v>
      </c>
      <c r="P39" s="115">
        <f t="shared" si="7"/>
        <v>0.25</v>
      </c>
      <c r="Q39" s="116">
        <f t="shared" si="8"/>
        <v>0</v>
      </c>
      <c r="R39" s="115">
        <f t="shared" ref="R39:R46" si="24">$O$133</f>
        <v>1</v>
      </c>
      <c r="S39" s="117" t="s">
        <v>280</v>
      </c>
      <c r="T39" s="86">
        <v>24</v>
      </c>
      <c r="U39" s="116">
        <f t="shared" si="9"/>
        <v>0</v>
      </c>
      <c r="V39" s="118">
        <f t="shared" si="10"/>
        <v>0</v>
      </c>
      <c r="W39" s="119" t="e">
        <f>V39/$V$2</f>
        <v>#DIV/0!</v>
      </c>
      <c r="X39">
        <f>2.78*365</f>
        <v>1014.6999999999999</v>
      </c>
      <c r="Y39" s="102">
        <v>365</v>
      </c>
      <c r="Z39">
        <f t="shared" si="3"/>
        <v>1</v>
      </c>
      <c r="AA39" s="86" t="str">
        <f t="shared" si="0"/>
        <v>Reach-in Refrigerator 1</v>
      </c>
      <c r="AB39" s="130">
        <v>1</v>
      </c>
      <c r="AC39" s="130">
        <v>1</v>
      </c>
      <c r="AD39" s="130">
        <v>1</v>
      </c>
      <c r="AE39" s="130">
        <v>1</v>
      </c>
      <c r="AF39" s="130">
        <v>1</v>
      </c>
      <c r="AG39" s="130">
        <v>1</v>
      </c>
      <c r="AH39" s="130">
        <v>1</v>
      </c>
      <c r="AI39" s="130">
        <v>1</v>
      </c>
      <c r="AJ39" s="130">
        <v>1</v>
      </c>
      <c r="AK39" s="130">
        <v>1</v>
      </c>
      <c r="AL39" s="130">
        <v>1</v>
      </c>
      <c r="AM39" s="130">
        <v>1</v>
      </c>
      <c r="AN39" s="130">
        <v>1</v>
      </c>
      <c r="AO39" s="130">
        <v>1</v>
      </c>
      <c r="AP39" s="130">
        <v>1</v>
      </c>
      <c r="AQ39" s="130">
        <v>1</v>
      </c>
      <c r="AR39" s="130">
        <v>1</v>
      </c>
      <c r="AS39" s="130">
        <v>1</v>
      </c>
      <c r="AT39" s="130">
        <v>1</v>
      </c>
      <c r="AU39" s="130">
        <v>1</v>
      </c>
      <c r="AV39" s="130">
        <v>1</v>
      </c>
      <c r="AW39" s="130">
        <v>1</v>
      </c>
      <c r="AX39" s="130">
        <v>1</v>
      </c>
      <c r="AY39" s="130">
        <v>1</v>
      </c>
    </row>
    <row r="40" spans="1:51" ht="15" customHeight="1" thickBot="1" x14ac:dyDescent="0.3">
      <c r="A40" s="490"/>
      <c r="B40" s="109"/>
      <c r="C40" s="86" t="s">
        <v>286</v>
      </c>
      <c r="D40" s="110"/>
      <c r="E40" s="111"/>
      <c r="F40" s="112">
        <v>8.1999999999999993</v>
      </c>
      <c r="G40" s="112">
        <v>120</v>
      </c>
      <c r="H40" s="112">
        <v>1</v>
      </c>
      <c r="I40" s="113">
        <f t="shared" si="6"/>
        <v>983.99999999999989</v>
      </c>
      <c r="J40" s="114">
        <f t="shared" si="2"/>
        <v>0</v>
      </c>
      <c r="N40" s="86" t="s">
        <v>285</v>
      </c>
      <c r="O40" s="86">
        <v>4800</v>
      </c>
      <c r="P40" s="115">
        <f t="shared" si="7"/>
        <v>0.25</v>
      </c>
      <c r="Q40" s="116">
        <f t="shared" si="8"/>
        <v>0</v>
      </c>
      <c r="R40" s="115">
        <f t="shared" si="24"/>
        <v>1</v>
      </c>
      <c r="S40" s="117" t="s">
        <v>280</v>
      </c>
      <c r="T40" s="86">
        <v>24</v>
      </c>
      <c r="U40" s="116">
        <f t="shared" si="9"/>
        <v>0</v>
      </c>
      <c r="V40" s="118">
        <f t="shared" si="10"/>
        <v>0</v>
      </c>
      <c r="W40" s="119" t="e">
        <f t="shared" ref="W40:W42" si="25">V40/$V$2</f>
        <v>#DIV/0!</v>
      </c>
      <c r="X40">
        <f t="shared" ref="X40:X42" si="26">2.78*365</f>
        <v>1014.6999999999999</v>
      </c>
      <c r="Y40" s="102">
        <v>365</v>
      </c>
      <c r="Z40">
        <f t="shared" si="3"/>
        <v>1</v>
      </c>
      <c r="AA40" s="86" t="str">
        <f t="shared" si="0"/>
        <v>Reach-in Refrigerator 2</v>
      </c>
      <c r="AB40" s="130">
        <v>1</v>
      </c>
      <c r="AC40" s="130">
        <v>1</v>
      </c>
      <c r="AD40" s="130">
        <v>1</v>
      </c>
      <c r="AE40" s="130">
        <v>1</v>
      </c>
      <c r="AF40" s="130">
        <v>1</v>
      </c>
      <c r="AG40" s="130">
        <v>1</v>
      </c>
      <c r="AH40" s="130">
        <v>1</v>
      </c>
      <c r="AI40" s="130">
        <v>1</v>
      </c>
      <c r="AJ40" s="130">
        <v>1</v>
      </c>
      <c r="AK40" s="130">
        <v>1</v>
      </c>
      <c r="AL40" s="130">
        <v>1</v>
      </c>
      <c r="AM40" s="130">
        <v>1</v>
      </c>
      <c r="AN40" s="130">
        <v>1</v>
      </c>
      <c r="AO40" s="130">
        <v>1</v>
      </c>
      <c r="AP40" s="130">
        <v>1</v>
      </c>
      <c r="AQ40" s="130">
        <v>1</v>
      </c>
      <c r="AR40" s="130">
        <v>1</v>
      </c>
      <c r="AS40" s="130">
        <v>1</v>
      </c>
      <c r="AT40" s="130">
        <v>1</v>
      </c>
      <c r="AU40" s="130">
        <v>1</v>
      </c>
      <c r="AV40" s="130">
        <v>1</v>
      </c>
      <c r="AW40" s="130">
        <v>1</v>
      </c>
      <c r="AX40" s="130">
        <v>1</v>
      </c>
      <c r="AY40" s="130">
        <v>1</v>
      </c>
    </row>
    <row r="41" spans="1:51" ht="15" customHeight="1" thickBot="1" x14ac:dyDescent="0.3">
      <c r="A41" s="490"/>
      <c r="B41" s="109"/>
      <c r="C41" s="86" t="s">
        <v>287</v>
      </c>
      <c r="D41" s="110"/>
      <c r="E41" s="111"/>
      <c r="F41" s="112">
        <v>8.1999999999999993</v>
      </c>
      <c r="G41" s="112">
        <v>120</v>
      </c>
      <c r="H41" s="112">
        <v>1</v>
      </c>
      <c r="I41" s="113">
        <f t="shared" si="6"/>
        <v>983.99999999999989</v>
      </c>
      <c r="J41" s="114">
        <f t="shared" si="2"/>
        <v>0</v>
      </c>
      <c r="N41" s="86" t="s">
        <v>285</v>
      </c>
      <c r="O41" s="86">
        <v>4800</v>
      </c>
      <c r="P41" s="115">
        <f t="shared" si="7"/>
        <v>0.25</v>
      </c>
      <c r="Q41" s="116">
        <f t="shared" si="8"/>
        <v>0</v>
      </c>
      <c r="R41" s="115">
        <f t="shared" si="24"/>
        <v>1</v>
      </c>
      <c r="S41" s="117" t="s">
        <v>280</v>
      </c>
      <c r="T41" s="86">
        <v>24</v>
      </c>
      <c r="U41" s="116">
        <f t="shared" ref="U41:U60" si="27">D41*R41*T41*Q41*3.412*$O$129</f>
        <v>0</v>
      </c>
      <c r="V41" s="118">
        <f t="shared" si="10"/>
        <v>0</v>
      </c>
      <c r="W41" s="119" t="e">
        <f t="shared" si="25"/>
        <v>#DIV/0!</v>
      </c>
      <c r="X41">
        <f t="shared" si="26"/>
        <v>1014.6999999999999</v>
      </c>
      <c r="Y41" s="102">
        <v>365</v>
      </c>
      <c r="Z41">
        <f t="shared" si="3"/>
        <v>1</v>
      </c>
      <c r="AA41" s="86" t="str">
        <f t="shared" si="0"/>
        <v>Reach-in Refrigerator 3</v>
      </c>
      <c r="AB41" s="130">
        <v>1</v>
      </c>
      <c r="AC41" s="130">
        <v>1</v>
      </c>
      <c r="AD41" s="130">
        <v>1</v>
      </c>
      <c r="AE41" s="130">
        <v>1</v>
      </c>
      <c r="AF41" s="130">
        <v>1</v>
      </c>
      <c r="AG41" s="130">
        <v>1</v>
      </c>
      <c r="AH41" s="130">
        <v>1</v>
      </c>
      <c r="AI41" s="130">
        <v>1</v>
      </c>
      <c r="AJ41" s="130">
        <v>1</v>
      </c>
      <c r="AK41" s="130">
        <v>1</v>
      </c>
      <c r="AL41" s="130">
        <v>1</v>
      </c>
      <c r="AM41" s="130">
        <v>1</v>
      </c>
      <c r="AN41" s="130">
        <v>1</v>
      </c>
      <c r="AO41" s="130">
        <v>1</v>
      </c>
      <c r="AP41" s="130">
        <v>1</v>
      </c>
      <c r="AQ41" s="130">
        <v>1</v>
      </c>
      <c r="AR41" s="130">
        <v>1</v>
      </c>
      <c r="AS41" s="130">
        <v>1</v>
      </c>
      <c r="AT41" s="130">
        <v>1</v>
      </c>
      <c r="AU41" s="130">
        <v>1</v>
      </c>
      <c r="AV41" s="130">
        <v>1</v>
      </c>
      <c r="AW41" s="130">
        <v>1</v>
      </c>
      <c r="AX41" s="130">
        <v>1</v>
      </c>
      <c r="AY41" s="130">
        <v>1</v>
      </c>
    </row>
    <row r="42" spans="1:51" ht="15" customHeight="1" thickBot="1" x14ac:dyDescent="0.3">
      <c r="A42" s="490"/>
      <c r="B42" s="109"/>
      <c r="C42" s="86" t="s">
        <v>288</v>
      </c>
      <c r="D42" s="110"/>
      <c r="E42" s="111"/>
      <c r="F42" s="112">
        <v>8.1999999999999993</v>
      </c>
      <c r="G42" s="112">
        <v>120</v>
      </c>
      <c r="H42" s="112">
        <v>1</v>
      </c>
      <c r="I42" s="113">
        <f t="shared" si="6"/>
        <v>983.99999999999989</v>
      </c>
      <c r="J42" s="114">
        <f t="shared" si="2"/>
        <v>0</v>
      </c>
      <c r="N42" s="86" t="s">
        <v>285</v>
      </c>
      <c r="O42" s="86">
        <v>4800</v>
      </c>
      <c r="P42" s="115">
        <f t="shared" si="7"/>
        <v>0.25</v>
      </c>
      <c r="Q42" s="116">
        <f t="shared" si="8"/>
        <v>0</v>
      </c>
      <c r="R42" s="115">
        <f t="shared" si="24"/>
        <v>1</v>
      </c>
      <c r="S42" s="117" t="s">
        <v>280</v>
      </c>
      <c r="T42" s="86">
        <v>24</v>
      </c>
      <c r="U42" s="116">
        <f t="shared" si="27"/>
        <v>0</v>
      </c>
      <c r="V42" s="118">
        <f t="shared" si="10"/>
        <v>0</v>
      </c>
      <c r="W42" s="119" t="e">
        <f t="shared" si="25"/>
        <v>#DIV/0!</v>
      </c>
      <c r="X42">
        <f t="shared" si="26"/>
        <v>1014.6999999999999</v>
      </c>
      <c r="Y42" s="102">
        <v>365</v>
      </c>
      <c r="Z42">
        <f t="shared" si="3"/>
        <v>1</v>
      </c>
      <c r="AA42" s="86" t="str">
        <f t="shared" si="0"/>
        <v>Reach-in Refrigerator 4</v>
      </c>
      <c r="AB42" s="130">
        <v>1</v>
      </c>
      <c r="AC42" s="130">
        <v>1</v>
      </c>
      <c r="AD42" s="130">
        <v>1</v>
      </c>
      <c r="AE42" s="130">
        <v>1</v>
      </c>
      <c r="AF42" s="130">
        <v>1</v>
      </c>
      <c r="AG42" s="130">
        <v>1</v>
      </c>
      <c r="AH42" s="130">
        <v>1</v>
      </c>
      <c r="AI42" s="130">
        <v>1</v>
      </c>
      <c r="AJ42" s="130">
        <v>1</v>
      </c>
      <c r="AK42" s="130">
        <v>1</v>
      </c>
      <c r="AL42" s="130">
        <v>1</v>
      </c>
      <c r="AM42" s="130">
        <v>1</v>
      </c>
      <c r="AN42" s="130">
        <v>1</v>
      </c>
      <c r="AO42" s="130">
        <v>1</v>
      </c>
      <c r="AP42" s="130">
        <v>1</v>
      </c>
      <c r="AQ42" s="130">
        <v>1</v>
      </c>
      <c r="AR42" s="130">
        <v>1</v>
      </c>
      <c r="AS42" s="130">
        <v>1</v>
      </c>
      <c r="AT42" s="130">
        <v>1</v>
      </c>
      <c r="AU42" s="130">
        <v>1</v>
      </c>
      <c r="AV42" s="130">
        <v>1</v>
      </c>
      <c r="AW42" s="130">
        <v>1</v>
      </c>
      <c r="AX42" s="130">
        <v>1</v>
      </c>
      <c r="AY42" s="130">
        <v>1</v>
      </c>
    </row>
    <row r="43" spans="1:51" ht="15.75" thickBot="1" x14ac:dyDescent="0.3">
      <c r="A43" s="490"/>
      <c r="B43" s="109"/>
      <c r="C43" s="86" t="s">
        <v>278</v>
      </c>
      <c r="D43" s="110"/>
      <c r="E43" s="111"/>
      <c r="F43" s="112">
        <v>15.7</v>
      </c>
      <c r="G43" s="112">
        <v>120</v>
      </c>
      <c r="H43" s="112">
        <v>1</v>
      </c>
      <c r="I43" s="113">
        <f t="shared" si="6"/>
        <v>1884</v>
      </c>
      <c r="J43" s="114">
        <f t="shared" si="2"/>
        <v>0</v>
      </c>
      <c r="N43" s="86" t="s">
        <v>279</v>
      </c>
      <c r="O43" s="86">
        <v>2700</v>
      </c>
      <c r="P43" s="115">
        <f t="shared" si="7"/>
        <v>0.41</v>
      </c>
      <c r="Q43" s="116">
        <f t="shared" si="8"/>
        <v>0</v>
      </c>
      <c r="R43" s="115">
        <f t="shared" si="24"/>
        <v>1</v>
      </c>
      <c r="S43" s="117" t="s">
        <v>280</v>
      </c>
      <c r="T43" s="86">
        <v>24</v>
      </c>
      <c r="U43" s="116">
        <f t="shared" si="27"/>
        <v>0</v>
      </c>
      <c r="V43" s="118">
        <f t="shared" si="10"/>
        <v>0</v>
      </c>
      <c r="W43" s="119" t="e">
        <f>V43/$V$2</f>
        <v>#DIV/0!</v>
      </c>
      <c r="X43">
        <f>9.89*365</f>
        <v>3609.8500000000004</v>
      </c>
      <c r="Y43" s="102">
        <v>365</v>
      </c>
      <c r="Z43">
        <f t="shared" si="3"/>
        <v>1</v>
      </c>
      <c r="AA43" s="86" t="str">
        <f t="shared" si="0"/>
        <v>Reach-In Freezer 1</v>
      </c>
      <c r="AB43" s="130">
        <v>1</v>
      </c>
      <c r="AC43" s="130">
        <v>1</v>
      </c>
      <c r="AD43" s="130">
        <v>1</v>
      </c>
      <c r="AE43" s="130">
        <v>1</v>
      </c>
      <c r="AF43" s="130">
        <v>1</v>
      </c>
      <c r="AG43" s="130">
        <v>1</v>
      </c>
      <c r="AH43" s="130">
        <v>1</v>
      </c>
      <c r="AI43" s="130">
        <v>1</v>
      </c>
      <c r="AJ43" s="130">
        <v>1</v>
      </c>
      <c r="AK43" s="130">
        <v>1</v>
      </c>
      <c r="AL43" s="130">
        <v>1</v>
      </c>
      <c r="AM43" s="130">
        <v>1</v>
      </c>
      <c r="AN43" s="130">
        <v>1</v>
      </c>
      <c r="AO43" s="130">
        <v>1</v>
      </c>
      <c r="AP43" s="130">
        <v>1</v>
      </c>
      <c r="AQ43" s="130">
        <v>1</v>
      </c>
      <c r="AR43" s="130">
        <v>1</v>
      </c>
      <c r="AS43" s="130">
        <v>1</v>
      </c>
      <c r="AT43" s="130">
        <v>1</v>
      </c>
      <c r="AU43" s="130">
        <v>1</v>
      </c>
      <c r="AV43" s="130">
        <v>1</v>
      </c>
      <c r="AW43" s="130">
        <v>1</v>
      </c>
      <c r="AX43" s="130">
        <v>1</v>
      </c>
      <c r="AY43" s="130">
        <v>1</v>
      </c>
    </row>
    <row r="44" spans="1:51" ht="15.75" thickBot="1" x14ac:dyDescent="0.3">
      <c r="A44" s="490"/>
      <c r="B44" s="109"/>
      <c r="C44" s="86" t="s">
        <v>281</v>
      </c>
      <c r="D44" s="110"/>
      <c r="E44" s="111"/>
      <c r="F44" s="112">
        <v>15.7</v>
      </c>
      <c r="G44" s="112">
        <v>120</v>
      </c>
      <c r="H44" s="112">
        <v>1</v>
      </c>
      <c r="I44" s="113">
        <f t="shared" si="6"/>
        <v>1884</v>
      </c>
      <c r="J44" s="114">
        <f t="shared" si="2"/>
        <v>0</v>
      </c>
      <c r="N44" s="86" t="s">
        <v>279</v>
      </c>
      <c r="O44" s="86">
        <v>2700</v>
      </c>
      <c r="P44" s="115">
        <f t="shared" si="7"/>
        <v>0.41</v>
      </c>
      <c r="Q44" s="116">
        <f t="shared" si="8"/>
        <v>0</v>
      </c>
      <c r="R44" s="115">
        <f t="shared" si="24"/>
        <v>1</v>
      </c>
      <c r="S44" s="117" t="s">
        <v>280</v>
      </c>
      <c r="T44" s="86">
        <v>24</v>
      </c>
      <c r="U44" s="116">
        <f t="shared" si="27"/>
        <v>0</v>
      </c>
      <c r="V44" s="118">
        <f t="shared" si="10"/>
        <v>0</v>
      </c>
      <c r="W44" s="119" t="e">
        <f>V44/$V$2</f>
        <v>#DIV/0!</v>
      </c>
      <c r="X44">
        <f t="shared" ref="X44:X45" si="28">9.89*365</f>
        <v>3609.8500000000004</v>
      </c>
      <c r="Y44" s="102">
        <v>365</v>
      </c>
      <c r="Z44">
        <f t="shared" si="3"/>
        <v>1</v>
      </c>
      <c r="AA44" s="86" t="str">
        <f t="shared" si="0"/>
        <v>Reach-In Freezer 2</v>
      </c>
      <c r="AB44" s="130">
        <v>1</v>
      </c>
      <c r="AC44" s="130">
        <v>1</v>
      </c>
      <c r="AD44" s="130">
        <v>1</v>
      </c>
      <c r="AE44" s="130">
        <v>1</v>
      </c>
      <c r="AF44" s="130">
        <v>1</v>
      </c>
      <c r="AG44" s="130">
        <v>1</v>
      </c>
      <c r="AH44" s="130">
        <v>1</v>
      </c>
      <c r="AI44" s="130">
        <v>1</v>
      </c>
      <c r="AJ44" s="130">
        <v>1</v>
      </c>
      <c r="AK44" s="130">
        <v>1</v>
      </c>
      <c r="AL44" s="130">
        <v>1</v>
      </c>
      <c r="AM44" s="130">
        <v>1</v>
      </c>
      <c r="AN44" s="130">
        <v>1</v>
      </c>
      <c r="AO44" s="130">
        <v>1</v>
      </c>
      <c r="AP44" s="130">
        <v>1</v>
      </c>
      <c r="AQ44" s="130">
        <v>1</v>
      </c>
      <c r="AR44" s="130">
        <v>1</v>
      </c>
      <c r="AS44" s="130">
        <v>1</v>
      </c>
      <c r="AT44" s="130">
        <v>1</v>
      </c>
      <c r="AU44" s="130">
        <v>1</v>
      </c>
      <c r="AV44" s="130">
        <v>1</v>
      </c>
      <c r="AW44" s="130">
        <v>1</v>
      </c>
      <c r="AX44" s="130">
        <v>1</v>
      </c>
      <c r="AY44" s="130">
        <v>1</v>
      </c>
    </row>
    <row r="45" spans="1:51" ht="15.75" thickBot="1" x14ac:dyDescent="0.3">
      <c r="A45" s="490"/>
      <c r="B45" s="109"/>
      <c r="C45" s="86" t="s">
        <v>282</v>
      </c>
      <c r="D45" s="110"/>
      <c r="E45" s="111"/>
      <c r="F45" s="112">
        <v>15.7</v>
      </c>
      <c r="G45" s="112">
        <v>120</v>
      </c>
      <c r="H45" s="112">
        <v>1</v>
      </c>
      <c r="I45" s="113">
        <f t="shared" si="6"/>
        <v>1884</v>
      </c>
      <c r="J45" s="114">
        <f t="shared" si="2"/>
        <v>0</v>
      </c>
      <c r="N45" s="86" t="s">
        <v>279</v>
      </c>
      <c r="O45" s="86">
        <v>2700</v>
      </c>
      <c r="P45" s="115">
        <f t="shared" si="7"/>
        <v>0.41</v>
      </c>
      <c r="Q45" s="116">
        <f t="shared" si="8"/>
        <v>0</v>
      </c>
      <c r="R45" s="115">
        <f t="shared" si="24"/>
        <v>1</v>
      </c>
      <c r="S45" s="117" t="s">
        <v>280</v>
      </c>
      <c r="T45" s="86">
        <v>24</v>
      </c>
      <c r="U45" s="116">
        <f t="shared" si="27"/>
        <v>0</v>
      </c>
      <c r="V45" s="118">
        <f t="shared" si="10"/>
        <v>0</v>
      </c>
      <c r="W45" s="119" t="e">
        <f>V45/$V$2</f>
        <v>#DIV/0!</v>
      </c>
      <c r="X45">
        <f t="shared" si="28"/>
        <v>3609.8500000000004</v>
      </c>
      <c r="Y45" s="102">
        <v>365</v>
      </c>
      <c r="Z45">
        <f t="shared" si="3"/>
        <v>1</v>
      </c>
      <c r="AA45" s="86" t="str">
        <f t="shared" si="0"/>
        <v>Reach-In Freezer 3</v>
      </c>
      <c r="AB45" s="130">
        <v>1</v>
      </c>
      <c r="AC45" s="130">
        <v>1</v>
      </c>
      <c r="AD45" s="130">
        <v>1</v>
      </c>
      <c r="AE45" s="130">
        <v>1</v>
      </c>
      <c r="AF45" s="130">
        <v>1</v>
      </c>
      <c r="AG45" s="130">
        <v>1</v>
      </c>
      <c r="AH45" s="130">
        <v>1</v>
      </c>
      <c r="AI45" s="130">
        <v>1</v>
      </c>
      <c r="AJ45" s="130">
        <v>1</v>
      </c>
      <c r="AK45" s="130">
        <v>1</v>
      </c>
      <c r="AL45" s="130">
        <v>1</v>
      </c>
      <c r="AM45" s="130">
        <v>1</v>
      </c>
      <c r="AN45" s="130">
        <v>1</v>
      </c>
      <c r="AO45" s="130">
        <v>1</v>
      </c>
      <c r="AP45" s="130">
        <v>1</v>
      </c>
      <c r="AQ45" s="130">
        <v>1</v>
      </c>
      <c r="AR45" s="130">
        <v>1</v>
      </c>
      <c r="AS45" s="130">
        <v>1</v>
      </c>
      <c r="AT45" s="130">
        <v>1</v>
      </c>
      <c r="AU45" s="130">
        <v>1</v>
      </c>
      <c r="AV45" s="130">
        <v>1</v>
      </c>
      <c r="AW45" s="130">
        <v>1</v>
      </c>
      <c r="AX45" s="130">
        <v>1</v>
      </c>
      <c r="AY45" s="130">
        <v>1</v>
      </c>
    </row>
    <row r="46" spans="1:51" ht="15.75" thickBot="1" x14ac:dyDescent="0.3">
      <c r="A46" s="490"/>
      <c r="B46" s="109"/>
      <c r="C46" s="86" t="s">
        <v>283</v>
      </c>
      <c r="D46" s="110"/>
      <c r="E46" s="111"/>
      <c r="F46" s="112">
        <v>15.7</v>
      </c>
      <c r="G46" s="112">
        <v>120</v>
      </c>
      <c r="H46" s="112">
        <v>1</v>
      </c>
      <c r="I46" s="113">
        <f t="shared" si="6"/>
        <v>1884</v>
      </c>
      <c r="J46" s="114">
        <f t="shared" si="2"/>
        <v>0</v>
      </c>
      <c r="N46" s="86" t="s">
        <v>279</v>
      </c>
      <c r="O46" s="86">
        <v>2700</v>
      </c>
      <c r="P46" s="115">
        <f t="shared" si="7"/>
        <v>0.41</v>
      </c>
      <c r="Q46" s="116">
        <f t="shared" si="8"/>
        <v>0</v>
      </c>
      <c r="R46" s="115">
        <f t="shared" si="24"/>
        <v>1</v>
      </c>
      <c r="S46" s="117" t="s">
        <v>280</v>
      </c>
      <c r="T46" s="86">
        <v>24</v>
      </c>
      <c r="U46" s="116">
        <f t="shared" si="27"/>
        <v>0</v>
      </c>
      <c r="V46" s="118">
        <f t="shared" si="10"/>
        <v>0</v>
      </c>
      <c r="W46" s="119" t="e">
        <f>V46/$V$2</f>
        <v>#DIV/0!</v>
      </c>
      <c r="X46">
        <f>9.89*365</f>
        <v>3609.8500000000004</v>
      </c>
      <c r="Y46" s="102">
        <v>365</v>
      </c>
      <c r="Z46">
        <f t="shared" si="3"/>
        <v>1</v>
      </c>
      <c r="AA46" s="86" t="str">
        <f t="shared" si="0"/>
        <v>Reach-In Freezer 4</v>
      </c>
      <c r="AB46" s="130">
        <v>1</v>
      </c>
      <c r="AC46" s="130">
        <v>1</v>
      </c>
      <c r="AD46" s="130">
        <v>1</v>
      </c>
      <c r="AE46" s="130">
        <v>1</v>
      </c>
      <c r="AF46" s="130">
        <v>1</v>
      </c>
      <c r="AG46" s="130">
        <v>1</v>
      </c>
      <c r="AH46" s="130">
        <v>1</v>
      </c>
      <c r="AI46" s="130">
        <v>1</v>
      </c>
      <c r="AJ46" s="130">
        <v>1</v>
      </c>
      <c r="AK46" s="130">
        <v>1</v>
      </c>
      <c r="AL46" s="130">
        <v>1</v>
      </c>
      <c r="AM46" s="130">
        <v>1</v>
      </c>
      <c r="AN46" s="130">
        <v>1</v>
      </c>
      <c r="AO46" s="130">
        <v>1</v>
      </c>
      <c r="AP46" s="130">
        <v>1</v>
      </c>
      <c r="AQ46" s="130">
        <v>1</v>
      </c>
      <c r="AR46" s="130">
        <v>1</v>
      </c>
      <c r="AS46" s="130">
        <v>1</v>
      </c>
      <c r="AT46" s="130">
        <v>1</v>
      </c>
      <c r="AU46" s="130">
        <v>1</v>
      </c>
      <c r="AV46" s="130">
        <v>1</v>
      </c>
      <c r="AW46" s="130">
        <v>1</v>
      </c>
      <c r="AX46" s="130">
        <v>1</v>
      </c>
      <c r="AY46" s="130">
        <v>1</v>
      </c>
    </row>
    <row r="47" spans="1:51" ht="15.75" thickBot="1" x14ac:dyDescent="0.3">
      <c r="A47" s="490"/>
      <c r="B47" s="109"/>
      <c r="C47" s="171" t="s">
        <v>319</v>
      </c>
      <c r="D47" s="110"/>
      <c r="E47" s="111"/>
      <c r="F47" s="112">
        <v>40.200000000000003</v>
      </c>
      <c r="G47" s="112">
        <v>208</v>
      </c>
      <c r="H47" s="112">
        <v>1</v>
      </c>
      <c r="I47" s="113">
        <f t="shared" si="6"/>
        <v>8361.6</v>
      </c>
      <c r="J47" s="172">
        <f t="shared" si="2"/>
        <v>0</v>
      </c>
      <c r="N47" s="86" t="s">
        <v>320</v>
      </c>
      <c r="O47" s="86">
        <v>17400</v>
      </c>
      <c r="P47" s="115">
        <f t="shared" si="7"/>
        <v>0.08</v>
      </c>
      <c r="Q47" s="116">
        <f t="shared" si="8"/>
        <v>0</v>
      </c>
      <c r="R47" s="115">
        <f>$O$134</f>
        <v>0.3</v>
      </c>
      <c r="S47" s="117" t="s">
        <v>321</v>
      </c>
      <c r="T47" s="86">
        <v>5</v>
      </c>
      <c r="U47" s="116">
        <f t="shared" si="27"/>
        <v>0</v>
      </c>
      <c r="V47" s="118">
        <f t="shared" si="10"/>
        <v>0</v>
      </c>
      <c r="W47" s="119" t="e">
        <f>V47/$V$2</f>
        <v>#DIV/0!</v>
      </c>
      <c r="Y47" s="102">
        <f>$O$132</f>
        <v>251</v>
      </c>
      <c r="Z47">
        <f t="shared" si="3"/>
        <v>0</v>
      </c>
      <c r="AA47" s="86" t="str">
        <f t="shared" si="0"/>
        <v>Mobile Hot Food Counter 1</v>
      </c>
      <c r="AB47" s="86"/>
      <c r="AC47" s="86"/>
      <c r="AD47" s="86"/>
      <c r="AE47" s="86"/>
      <c r="AF47" s="86"/>
      <c r="AG47" s="86"/>
      <c r="AH47" s="86"/>
      <c r="AI47" s="86"/>
      <c r="AJ47" s="173">
        <f>0.5*P47</f>
        <v>0.04</v>
      </c>
      <c r="AK47" s="107">
        <f>$P$47</f>
        <v>0.08</v>
      </c>
      <c r="AL47" s="107">
        <f>$P$47</f>
        <v>0.08</v>
      </c>
      <c r="AM47" s="108">
        <v>0.5</v>
      </c>
      <c r="AN47" s="108">
        <v>1</v>
      </c>
      <c r="AO47" s="108">
        <v>1</v>
      </c>
      <c r="AP47" s="86"/>
      <c r="AQ47" s="86"/>
      <c r="AR47" s="86"/>
      <c r="AS47" s="86"/>
      <c r="AT47" s="86"/>
      <c r="AU47" s="86"/>
      <c r="AV47" s="86"/>
      <c r="AW47" s="86"/>
      <c r="AX47" s="86"/>
      <c r="AY47" s="86"/>
    </row>
    <row r="48" spans="1:51" ht="15.75" thickBot="1" x14ac:dyDescent="0.3">
      <c r="A48" s="490"/>
      <c r="B48" s="109"/>
      <c r="C48" s="171" t="s">
        <v>322</v>
      </c>
      <c r="D48" s="110"/>
      <c r="E48" s="111"/>
      <c r="F48" s="112">
        <v>40.200000000000003</v>
      </c>
      <c r="G48" s="112">
        <v>208</v>
      </c>
      <c r="H48" s="112">
        <v>1</v>
      </c>
      <c r="I48" s="113">
        <f t="shared" si="6"/>
        <v>8361.6</v>
      </c>
      <c r="J48" s="172">
        <f t="shared" si="2"/>
        <v>0</v>
      </c>
      <c r="N48" s="86" t="s">
        <v>320</v>
      </c>
      <c r="O48" s="86">
        <v>17400</v>
      </c>
      <c r="P48" s="115">
        <f t="shared" si="7"/>
        <v>0.08</v>
      </c>
      <c r="Q48" s="116">
        <f t="shared" si="8"/>
        <v>0</v>
      </c>
      <c r="R48" s="115">
        <f>$O$134</f>
        <v>0.3</v>
      </c>
      <c r="S48" s="117" t="s">
        <v>321</v>
      </c>
      <c r="T48" s="86">
        <v>5</v>
      </c>
      <c r="U48" s="116">
        <f t="shared" si="27"/>
        <v>0</v>
      </c>
      <c r="V48" s="118">
        <f t="shared" si="10"/>
        <v>0</v>
      </c>
      <c r="W48" s="119" t="e">
        <f t="shared" ref="W48:W49" si="29">V48/$V$2</f>
        <v>#DIV/0!</v>
      </c>
      <c r="Y48" s="102">
        <f>$O$132</f>
        <v>251</v>
      </c>
      <c r="Z48">
        <f t="shared" si="3"/>
        <v>0</v>
      </c>
      <c r="AA48" s="86" t="str">
        <f t="shared" si="0"/>
        <v>Mobile Hot Food Counter 2</v>
      </c>
      <c r="AB48" s="86"/>
      <c r="AC48" s="86"/>
      <c r="AD48" s="86"/>
      <c r="AE48" s="86"/>
      <c r="AF48" s="86"/>
      <c r="AG48" s="86"/>
      <c r="AH48" s="86"/>
      <c r="AI48" s="86"/>
      <c r="AJ48" s="173">
        <f>0.5*P48</f>
        <v>0.04</v>
      </c>
      <c r="AK48" s="107">
        <f t="shared" ref="AK48:AL49" si="30">$P$47</f>
        <v>0.08</v>
      </c>
      <c r="AL48" s="107">
        <f t="shared" si="30"/>
        <v>0.08</v>
      </c>
      <c r="AM48" s="108">
        <v>0.5</v>
      </c>
      <c r="AN48" s="108">
        <v>1</v>
      </c>
      <c r="AO48" s="108">
        <v>1</v>
      </c>
      <c r="AP48" s="86"/>
      <c r="AQ48" s="86"/>
      <c r="AR48" s="86"/>
      <c r="AS48" s="86"/>
      <c r="AT48" s="86"/>
      <c r="AU48" s="86"/>
      <c r="AV48" s="86"/>
      <c r="AW48" s="86"/>
      <c r="AX48" s="86"/>
      <c r="AY48" s="86"/>
    </row>
    <row r="49" spans="1:51" ht="15.75" thickBot="1" x14ac:dyDescent="0.3">
      <c r="A49" s="490"/>
      <c r="B49" s="109"/>
      <c r="C49" s="171" t="s">
        <v>323</v>
      </c>
      <c r="D49" s="110"/>
      <c r="E49" s="111"/>
      <c r="F49" s="112">
        <v>40.200000000000003</v>
      </c>
      <c r="G49" s="112">
        <v>208</v>
      </c>
      <c r="H49" s="112">
        <v>1</v>
      </c>
      <c r="I49" s="113">
        <f t="shared" si="6"/>
        <v>8361.6</v>
      </c>
      <c r="J49" s="172">
        <f t="shared" si="2"/>
        <v>0</v>
      </c>
      <c r="N49" s="86" t="s">
        <v>320</v>
      </c>
      <c r="O49" s="86">
        <v>17400</v>
      </c>
      <c r="P49" s="115">
        <f t="shared" si="7"/>
        <v>0.08</v>
      </c>
      <c r="Q49" s="116">
        <f t="shared" si="8"/>
        <v>0</v>
      </c>
      <c r="R49" s="115">
        <f>$O$134</f>
        <v>0.3</v>
      </c>
      <c r="S49" s="117" t="s">
        <v>321</v>
      </c>
      <c r="T49" s="86">
        <v>5</v>
      </c>
      <c r="U49" s="116">
        <f t="shared" si="27"/>
        <v>0</v>
      </c>
      <c r="V49" s="118">
        <f t="shared" si="10"/>
        <v>0</v>
      </c>
      <c r="W49" s="119" t="e">
        <f t="shared" si="29"/>
        <v>#DIV/0!</v>
      </c>
      <c r="Y49" s="102">
        <f>$O$132</f>
        <v>251</v>
      </c>
      <c r="Z49">
        <f t="shared" si="3"/>
        <v>0</v>
      </c>
      <c r="AA49" s="86" t="str">
        <f t="shared" si="0"/>
        <v>Mobile Hot Food Counter 3</v>
      </c>
      <c r="AB49" s="86"/>
      <c r="AC49" s="86"/>
      <c r="AD49" s="86"/>
      <c r="AE49" s="86"/>
      <c r="AF49" s="86"/>
      <c r="AG49" s="86"/>
      <c r="AH49" s="86"/>
      <c r="AI49" s="86"/>
      <c r="AJ49" s="173">
        <f>0.5*P49</f>
        <v>0.04</v>
      </c>
      <c r="AK49" s="107">
        <f t="shared" si="30"/>
        <v>0.08</v>
      </c>
      <c r="AL49" s="107">
        <f t="shared" si="30"/>
        <v>0.08</v>
      </c>
      <c r="AM49" s="108">
        <v>0.5</v>
      </c>
      <c r="AN49" s="108">
        <v>1</v>
      </c>
      <c r="AO49" s="108">
        <v>1</v>
      </c>
      <c r="AP49" s="86"/>
      <c r="AQ49" s="86"/>
      <c r="AR49" s="86"/>
      <c r="AS49" s="86"/>
      <c r="AT49" s="86"/>
      <c r="AU49" s="86"/>
      <c r="AV49" s="86"/>
      <c r="AW49" s="86"/>
      <c r="AX49" s="86"/>
      <c r="AY49" s="86"/>
    </row>
    <row r="50" spans="1:51" ht="15.75" thickBot="1" x14ac:dyDescent="0.3">
      <c r="A50" s="490"/>
      <c r="B50" s="109"/>
      <c r="C50" s="121" t="s">
        <v>324</v>
      </c>
      <c r="D50" s="174"/>
      <c r="E50" s="121">
        <v>0</v>
      </c>
      <c r="F50" s="121"/>
      <c r="G50" s="121"/>
      <c r="H50" s="121"/>
      <c r="I50" s="122"/>
      <c r="J50" s="120">
        <f t="shared" si="2"/>
        <v>0</v>
      </c>
      <c r="N50" s="121"/>
      <c r="O50" s="121"/>
      <c r="P50" s="175"/>
      <c r="Q50" s="176"/>
      <c r="R50" s="175"/>
      <c r="S50" s="177"/>
      <c r="T50" s="121"/>
      <c r="U50" s="176">
        <f t="shared" si="27"/>
        <v>0</v>
      </c>
      <c r="V50" s="178"/>
      <c r="W50" s="179"/>
      <c r="Y50" s="102"/>
      <c r="Z50">
        <f t="shared" si="3"/>
        <v>0</v>
      </c>
      <c r="AA50" s="86" t="str">
        <f t="shared" si="0"/>
        <v>Mobile Salad Counter</v>
      </c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</row>
    <row r="51" spans="1:51" ht="15.75" thickBot="1" x14ac:dyDescent="0.3">
      <c r="A51" s="490"/>
      <c r="B51" s="109"/>
      <c r="C51" s="121" t="s">
        <v>325</v>
      </c>
      <c r="D51" s="174"/>
      <c r="E51" s="121">
        <v>0</v>
      </c>
      <c r="F51" s="121"/>
      <c r="G51" s="121"/>
      <c r="H51" s="121"/>
      <c r="I51" s="122"/>
      <c r="J51" s="120">
        <f t="shared" si="2"/>
        <v>0</v>
      </c>
      <c r="N51" s="121"/>
      <c r="O51" s="121"/>
      <c r="P51" s="175"/>
      <c r="Q51" s="176"/>
      <c r="R51" s="175"/>
      <c r="S51" s="177"/>
      <c r="T51" s="121"/>
      <c r="U51" s="176">
        <f t="shared" si="27"/>
        <v>0</v>
      </c>
      <c r="V51" s="178"/>
      <c r="W51" s="179"/>
      <c r="Y51" s="102"/>
      <c r="Z51">
        <f t="shared" si="3"/>
        <v>0</v>
      </c>
      <c r="AA51" s="86" t="str">
        <f t="shared" si="0"/>
        <v>Water Dispenser</v>
      </c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</row>
    <row r="52" spans="1:51" ht="15.75" thickBot="1" x14ac:dyDescent="0.3">
      <c r="A52" s="490"/>
      <c r="B52" s="109"/>
      <c r="C52" s="121" t="s">
        <v>326</v>
      </c>
      <c r="D52" s="174"/>
      <c r="E52" s="121">
        <v>0</v>
      </c>
      <c r="F52" s="121"/>
      <c r="G52" s="121"/>
      <c r="H52" s="121"/>
      <c r="I52" s="122"/>
      <c r="J52" s="120">
        <f t="shared" si="2"/>
        <v>0</v>
      </c>
      <c r="N52" s="121"/>
      <c r="O52" s="121"/>
      <c r="P52" s="175"/>
      <c r="Q52" s="176"/>
      <c r="R52" s="175"/>
      <c r="S52" s="177"/>
      <c r="T52" s="121"/>
      <c r="U52" s="176">
        <f t="shared" si="27"/>
        <v>0</v>
      </c>
      <c r="V52" s="178"/>
      <c r="W52" s="179"/>
      <c r="Y52" s="102"/>
      <c r="Z52">
        <f t="shared" si="3"/>
        <v>0</v>
      </c>
      <c r="AA52" s="86" t="str">
        <f t="shared" si="0"/>
        <v>Milk Cooler</v>
      </c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</row>
    <row r="53" spans="1:51" ht="15.75" thickBot="1" x14ac:dyDescent="0.3">
      <c r="A53" s="490"/>
      <c r="B53" s="109"/>
      <c r="C53" s="86" t="s">
        <v>327</v>
      </c>
      <c r="D53" s="180"/>
      <c r="E53" s="111"/>
      <c r="F53" s="112">
        <v>10</v>
      </c>
      <c r="G53" s="112">
        <v>120</v>
      </c>
      <c r="H53" s="112">
        <v>1</v>
      </c>
      <c r="I53" s="113">
        <f t="shared" ref="I53:I56" si="31">IF(E53="",F53*G53*SQRT(H53),E53*1000)</f>
        <v>1200</v>
      </c>
      <c r="J53" s="114">
        <f t="shared" si="2"/>
        <v>0</v>
      </c>
      <c r="N53" s="86" t="s">
        <v>264</v>
      </c>
      <c r="O53" s="86" t="s">
        <v>264</v>
      </c>
      <c r="P53" s="115">
        <f>IF(N53="NA",1,INDEX($O$137:$O$142,MATCH(N53,$N$137:$N$142,0)))</f>
        <v>1</v>
      </c>
      <c r="Q53" s="116">
        <f>J53*P53</f>
        <v>0</v>
      </c>
      <c r="R53" s="115">
        <f>$O$134</f>
        <v>0.3</v>
      </c>
      <c r="S53" s="117" t="s">
        <v>321</v>
      </c>
      <c r="T53" s="86">
        <v>5</v>
      </c>
      <c r="U53" s="116">
        <f t="shared" si="27"/>
        <v>0</v>
      </c>
      <c r="V53" s="118">
        <f t="shared" ref="V53:V55" si="32">U53*Y53</f>
        <v>0</v>
      </c>
      <c r="W53" s="119" t="e">
        <f t="shared" ref="W53:W55" si="33">V53/$V$2</f>
        <v>#DIV/0!</v>
      </c>
      <c r="Y53" s="102">
        <f>$O$132</f>
        <v>251</v>
      </c>
      <c r="Z53">
        <f t="shared" si="3"/>
        <v>0</v>
      </c>
      <c r="AA53" s="86" t="str">
        <f t="shared" si="0"/>
        <v>Mobile Cashier Counter 1</v>
      </c>
      <c r="AB53" s="86"/>
      <c r="AC53" s="86"/>
      <c r="AD53" s="86"/>
      <c r="AE53" s="86"/>
      <c r="AF53" s="86"/>
      <c r="AG53" s="86"/>
      <c r="AH53" s="86"/>
      <c r="AI53" s="86"/>
      <c r="AJ53" s="148">
        <f t="shared" ref="AJ53:AN55" si="34">$P$56</f>
        <v>1</v>
      </c>
      <c r="AK53" s="148">
        <f t="shared" si="34"/>
        <v>1</v>
      </c>
      <c r="AL53" s="148">
        <f t="shared" si="34"/>
        <v>1</v>
      </c>
      <c r="AM53" s="148">
        <f t="shared" si="34"/>
        <v>1</v>
      </c>
      <c r="AN53" s="148">
        <f t="shared" si="34"/>
        <v>1</v>
      </c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</row>
    <row r="54" spans="1:51" ht="15.75" thickBot="1" x14ac:dyDescent="0.3">
      <c r="A54" s="490"/>
      <c r="B54" s="109"/>
      <c r="C54" s="86" t="s">
        <v>328</v>
      </c>
      <c r="D54" s="180"/>
      <c r="E54" s="111"/>
      <c r="F54" s="112">
        <v>10</v>
      </c>
      <c r="G54" s="112">
        <v>120</v>
      </c>
      <c r="H54" s="112">
        <v>1</v>
      </c>
      <c r="I54" s="113">
        <f t="shared" si="31"/>
        <v>1200</v>
      </c>
      <c r="J54" s="114">
        <f t="shared" si="2"/>
        <v>0</v>
      </c>
      <c r="N54" s="86" t="s">
        <v>264</v>
      </c>
      <c r="O54" s="86" t="s">
        <v>264</v>
      </c>
      <c r="P54" s="115">
        <f>IF(N54="NA",1,INDEX($O$137:$O$142,MATCH(N54,$N$137:$N$142,0)))</f>
        <v>1</v>
      </c>
      <c r="Q54" s="116">
        <f>J54*P54</f>
        <v>0</v>
      </c>
      <c r="R54" s="115">
        <f>$O$134</f>
        <v>0.3</v>
      </c>
      <c r="S54" s="117" t="s">
        <v>321</v>
      </c>
      <c r="T54" s="86">
        <v>5</v>
      </c>
      <c r="U54" s="116">
        <f t="shared" si="27"/>
        <v>0</v>
      </c>
      <c r="V54" s="118">
        <f t="shared" si="32"/>
        <v>0</v>
      </c>
      <c r="W54" s="119" t="e">
        <f t="shared" si="33"/>
        <v>#DIV/0!</v>
      </c>
      <c r="Y54" s="102">
        <f>$O$132</f>
        <v>251</v>
      </c>
      <c r="Z54">
        <f t="shared" si="3"/>
        <v>0</v>
      </c>
      <c r="AA54" s="86" t="str">
        <f t="shared" si="0"/>
        <v>Mobile Cashier Counter 2</v>
      </c>
      <c r="AB54" s="86"/>
      <c r="AC54" s="86"/>
      <c r="AD54" s="86"/>
      <c r="AE54" s="86"/>
      <c r="AF54" s="86"/>
      <c r="AG54" s="86"/>
      <c r="AH54" s="86"/>
      <c r="AI54" s="86"/>
      <c r="AJ54" s="148">
        <f t="shared" si="34"/>
        <v>1</v>
      </c>
      <c r="AK54" s="148">
        <f t="shared" si="34"/>
        <v>1</v>
      </c>
      <c r="AL54" s="148">
        <f t="shared" si="34"/>
        <v>1</v>
      </c>
      <c r="AM54" s="148">
        <f t="shared" si="34"/>
        <v>1</v>
      </c>
      <c r="AN54" s="148">
        <f t="shared" si="34"/>
        <v>1</v>
      </c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</row>
    <row r="55" spans="1:51" ht="15.75" thickBot="1" x14ac:dyDescent="0.3">
      <c r="A55" s="490"/>
      <c r="B55" s="109"/>
      <c r="C55" s="86" t="s">
        <v>329</v>
      </c>
      <c r="D55" s="181"/>
      <c r="E55" s="111"/>
      <c r="F55" s="112">
        <v>10</v>
      </c>
      <c r="G55" s="112">
        <v>120</v>
      </c>
      <c r="H55" s="112">
        <v>1</v>
      </c>
      <c r="I55" s="113">
        <f t="shared" si="31"/>
        <v>1200</v>
      </c>
      <c r="J55" s="114">
        <f t="shared" si="2"/>
        <v>0</v>
      </c>
      <c r="N55" s="86" t="s">
        <v>264</v>
      </c>
      <c r="O55" s="86" t="s">
        <v>264</v>
      </c>
      <c r="P55" s="115">
        <f>IF(N55="NA",1,INDEX($O$137:$O$142,MATCH(N55,$N$137:$N$142,0)))</f>
        <v>1</v>
      </c>
      <c r="Q55" s="116">
        <f>J55*P55</f>
        <v>0</v>
      </c>
      <c r="R55" s="115">
        <f>$O$134</f>
        <v>0.3</v>
      </c>
      <c r="S55" s="117" t="s">
        <v>321</v>
      </c>
      <c r="T55" s="86">
        <v>5</v>
      </c>
      <c r="U55" s="116">
        <f t="shared" si="27"/>
        <v>0</v>
      </c>
      <c r="V55" s="118">
        <f t="shared" si="32"/>
        <v>0</v>
      </c>
      <c r="W55" s="119" t="e">
        <f t="shared" si="33"/>
        <v>#DIV/0!</v>
      </c>
      <c r="Y55" s="102">
        <f>$O$132</f>
        <v>251</v>
      </c>
      <c r="Z55">
        <f t="shared" si="3"/>
        <v>0</v>
      </c>
      <c r="AA55" s="86" t="str">
        <f t="shared" si="0"/>
        <v>Mobile Cashier Counter 3</v>
      </c>
      <c r="AB55" s="86"/>
      <c r="AC55" s="86"/>
      <c r="AD55" s="86"/>
      <c r="AE55" s="86"/>
      <c r="AF55" s="86"/>
      <c r="AG55" s="86"/>
      <c r="AH55" s="86"/>
      <c r="AI55" s="86"/>
      <c r="AJ55" s="148">
        <f t="shared" si="34"/>
        <v>1</v>
      </c>
      <c r="AK55" s="148">
        <f t="shared" si="34"/>
        <v>1</v>
      </c>
      <c r="AL55" s="148">
        <f t="shared" si="34"/>
        <v>1</v>
      </c>
      <c r="AM55" s="148">
        <f t="shared" si="34"/>
        <v>1</v>
      </c>
      <c r="AN55" s="148">
        <f t="shared" si="34"/>
        <v>1</v>
      </c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</row>
    <row r="56" spans="1:51" ht="15.75" thickBot="1" x14ac:dyDescent="0.3">
      <c r="A56" s="490"/>
      <c r="B56" s="109"/>
      <c r="C56" s="86" t="s">
        <v>330</v>
      </c>
      <c r="D56" s="181"/>
      <c r="E56" s="111"/>
      <c r="F56" s="112">
        <v>10</v>
      </c>
      <c r="G56" s="112">
        <v>120</v>
      </c>
      <c r="H56" s="112">
        <v>1</v>
      </c>
      <c r="I56" s="113">
        <f t="shared" si="31"/>
        <v>1200</v>
      </c>
      <c r="J56" s="114">
        <f t="shared" si="2"/>
        <v>0</v>
      </c>
      <c r="N56" s="86" t="s">
        <v>264</v>
      </c>
      <c r="O56" s="86" t="s">
        <v>264</v>
      </c>
      <c r="P56" s="115">
        <f>IF(N56="NA",1,INDEX($O$137:$O$142,MATCH(N56,$N$137:$N$142,0)))</f>
        <v>1</v>
      </c>
      <c r="Q56" s="116">
        <f>J56*P56</f>
        <v>0</v>
      </c>
      <c r="R56" s="115">
        <f>$O$134</f>
        <v>0.3</v>
      </c>
      <c r="S56" s="117" t="s">
        <v>321</v>
      </c>
      <c r="T56" s="86">
        <v>5</v>
      </c>
      <c r="U56" s="116">
        <f t="shared" si="27"/>
        <v>0</v>
      </c>
      <c r="V56" s="118">
        <f>U56*Y56</f>
        <v>0</v>
      </c>
      <c r="W56" s="119" t="e">
        <f>V56/$V$2</f>
        <v>#DIV/0!</v>
      </c>
      <c r="Y56" s="102">
        <f>$O$132</f>
        <v>251</v>
      </c>
      <c r="Z56">
        <f t="shared" si="3"/>
        <v>0</v>
      </c>
      <c r="AA56" s="86" t="str">
        <f t="shared" si="0"/>
        <v>Mobile Cashier Counter 4</v>
      </c>
      <c r="AB56" s="86"/>
      <c r="AC56" s="86"/>
      <c r="AD56" s="86"/>
      <c r="AE56" s="86"/>
      <c r="AF56" s="86"/>
      <c r="AG56" s="86"/>
      <c r="AH56" s="86"/>
      <c r="AI56" s="86"/>
      <c r="AJ56" s="148">
        <f>$P$56</f>
        <v>1</v>
      </c>
      <c r="AK56" s="148">
        <f>$P$56</f>
        <v>1</v>
      </c>
      <c r="AL56" s="148">
        <f>$P$56</f>
        <v>1</v>
      </c>
      <c r="AM56" s="148">
        <f>$P$56</f>
        <v>1</v>
      </c>
      <c r="AN56" s="148">
        <f>$P$56</f>
        <v>1</v>
      </c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</row>
    <row r="57" spans="1:51" ht="15.75" thickBot="1" x14ac:dyDescent="0.3">
      <c r="A57" s="490"/>
      <c r="B57" s="109"/>
      <c r="C57" s="121" t="s">
        <v>331</v>
      </c>
      <c r="D57" s="174"/>
      <c r="E57" s="121">
        <v>0</v>
      </c>
      <c r="F57" s="121"/>
      <c r="G57" s="121"/>
      <c r="H57" s="121"/>
      <c r="I57" s="122"/>
      <c r="J57" s="120">
        <f t="shared" si="2"/>
        <v>0</v>
      </c>
      <c r="N57" s="121"/>
      <c r="O57" s="121"/>
      <c r="P57" s="175"/>
      <c r="Q57" s="176"/>
      <c r="R57" s="175"/>
      <c r="S57" s="177"/>
      <c r="T57" s="121"/>
      <c r="U57" s="176">
        <f t="shared" si="27"/>
        <v>0</v>
      </c>
      <c r="V57" s="178"/>
      <c r="W57" s="179"/>
      <c r="Y57" s="102"/>
      <c r="Z57">
        <f t="shared" si="3"/>
        <v>0</v>
      </c>
      <c r="AA57" s="86" t="str">
        <f t="shared" si="0"/>
        <v>P.O.S. Unit 1</v>
      </c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</row>
    <row r="58" spans="1:51" ht="15.75" thickBot="1" x14ac:dyDescent="0.3">
      <c r="A58" s="490"/>
      <c r="B58" s="109"/>
      <c r="C58" s="121" t="s">
        <v>332</v>
      </c>
      <c r="D58" s="182"/>
      <c r="E58" s="121">
        <v>0</v>
      </c>
      <c r="F58" s="121"/>
      <c r="G58" s="121"/>
      <c r="H58" s="121"/>
      <c r="I58" s="122"/>
      <c r="J58" s="120">
        <f t="shared" si="2"/>
        <v>0</v>
      </c>
      <c r="N58" s="121"/>
      <c r="O58" s="121"/>
      <c r="P58" s="175"/>
      <c r="Q58" s="176"/>
      <c r="R58" s="175"/>
      <c r="S58" s="177"/>
      <c r="T58" s="121"/>
      <c r="U58" s="176">
        <f t="shared" si="27"/>
        <v>0</v>
      </c>
      <c r="V58" s="178"/>
      <c r="W58" s="179"/>
      <c r="Y58" s="102"/>
      <c r="Z58">
        <f t="shared" si="3"/>
        <v>0</v>
      </c>
      <c r="AA58" s="86" t="str">
        <f t="shared" si="0"/>
        <v>P.O.S. Unit 2</v>
      </c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</row>
    <row r="59" spans="1:51" ht="15.75" thickBot="1" x14ac:dyDescent="0.3">
      <c r="A59" s="490"/>
      <c r="B59" s="109"/>
      <c r="C59" s="121" t="s">
        <v>333</v>
      </c>
      <c r="D59" s="121"/>
      <c r="E59" s="121">
        <v>0</v>
      </c>
      <c r="F59" s="121"/>
      <c r="G59" s="121"/>
      <c r="H59" s="121"/>
      <c r="I59" s="122"/>
      <c r="J59" s="120">
        <f t="shared" si="2"/>
        <v>0</v>
      </c>
      <c r="N59" s="121"/>
      <c r="O59" s="121"/>
      <c r="P59" s="175"/>
      <c r="Q59" s="176"/>
      <c r="R59" s="175"/>
      <c r="S59" s="177"/>
      <c r="T59" s="121"/>
      <c r="U59" s="176">
        <f t="shared" si="27"/>
        <v>0</v>
      </c>
      <c r="V59" s="178"/>
      <c r="W59" s="179"/>
      <c r="Y59" s="102"/>
      <c r="Z59">
        <f t="shared" si="3"/>
        <v>0</v>
      </c>
      <c r="AA59" s="86" t="str">
        <f t="shared" si="0"/>
        <v>P.O.S. Unit 3</v>
      </c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</row>
    <row r="60" spans="1:51" ht="15.75" thickBot="1" x14ac:dyDescent="0.3">
      <c r="A60" s="491"/>
      <c r="B60" s="135"/>
      <c r="C60" s="183" t="s">
        <v>334</v>
      </c>
      <c r="D60" s="183"/>
      <c r="E60" s="183">
        <v>0</v>
      </c>
      <c r="F60" s="183"/>
      <c r="G60" s="183"/>
      <c r="H60" s="183"/>
      <c r="I60" s="184"/>
      <c r="J60" s="185">
        <f t="shared" si="2"/>
        <v>0</v>
      </c>
      <c r="N60" s="121"/>
      <c r="O60" s="121"/>
      <c r="P60" s="175"/>
      <c r="Q60" s="176"/>
      <c r="R60" s="175"/>
      <c r="S60" s="177"/>
      <c r="T60" s="121"/>
      <c r="U60" s="176">
        <f t="shared" si="27"/>
        <v>0</v>
      </c>
      <c r="V60" s="178"/>
      <c r="W60" s="179"/>
      <c r="Y60" s="102"/>
      <c r="Z60">
        <f t="shared" si="3"/>
        <v>0</v>
      </c>
      <c r="AA60" s="86" t="str">
        <f t="shared" si="0"/>
        <v>P.O.S. Unit 4</v>
      </c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</row>
    <row r="61" spans="1:51" x14ac:dyDescent="0.25">
      <c r="J61" s="186">
        <f>SUM(J3:J60)</f>
        <v>0</v>
      </c>
      <c r="K61" s="186"/>
      <c r="L61" s="186"/>
      <c r="M61" s="186"/>
      <c r="P61" s="187" t="e">
        <f>SUMPRODUCT(J3:J60,P3:P60)/J61</f>
        <v>#DIV/0!</v>
      </c>
      <c r="Q61" s="187" t="e">
        <f>P61*J61</f>
        <v>#DIV/0!</v>
      </c>
      <c r="R61" s="188" t="e">
        <f>SUMPRODUCT(J3:J60,R3:R60)/J61</f>
        <v>#DIV/0!</v>
      </c>
      <c r="U61" s="187">
        <f>SUM(U3:U60)</f>
        <v>0</v>
      </c>
      <c r="AB61" s="86">
        <v>1</v>
      </c>
      <c r="AC61" s="86">
        <v>2</v>
      </c>
      <c r="AD61" s="86">
        <v>3</v>
      </c>
      <c r="AE61" s="86">
        <v>4</v>
      </c>
      <c r="AF61" s="86">
        <v>5</v>
      </c>
      <c r="AG61" s="86">
        <v>6</v>
      </c>
      <c r="AH61" s="86">
        <v>7</v>
      </c>
      <c r="AI61" s="86">
        <v>8</v>
      </c>
      <c r="AJ61" s="86">
        <v>9</v>
      </c>
      <c r="AK61" s="86">
        <v>10</v>
      </c>
      <c r="AL61" s="86">
        <v>11</v>
      </c>
      <c r="AM61" s="86">
        <v>12</v>
      </c>
      <c r="AN61" s="86">
        <v>13</v>
      </c>
      <c r="AO61" s="86">
        <v>14</v>
      </c>
      <c r="AP61" s="86">
        <v>15</v>
      </c>
      <c r="AQ61" s="86">
        <v>16</v>
      </c>
      <c r="AR61" s="86">
        <v>17</v>
      </c>
      <c r="AS61" s="86">
        <v>18</v>
      </c>
      <c r="AT61" s="86">
        <v>19</v>
      </c>
      <c r="AU61" s="86">
        <v>20</v>
      </c>
      <c r="AV61" s="86">
        <v>21</v>
      </c>
      <c r="AW61" s="86">
        <v>22</v>
      </c>
      <c r="AX61" s="86">
        <v>23</v>
      </c>
      <c r="AY61" s="86">
        <v>24</v>
      </c>
    </row>
    <row r="62" spans="1:51" x14ac:dyDescent="0.25">
      <c r="L62" s="186"/>
      <c r="M62" s="186"/>
      <c r="P62" s="187"/>
      <c r="T62" t="e">
        <f>J61*#REF!*O129*3.412</f>
        <v>#REF!</v>
      </c>
      <c r="Z62" t="s">
        <v>336</v>
      </c>
      <c r="AA62" s="190"/>
      <c r="AB62" s="190" t="e">
        <f t="shared" ref="AB62:AY62" si="35">ROUND(SUMPRODUCT(AB3:AB60,$J$3:$J$60,$P$3:$P$60,$R$3:$R$60)/$J$2,2)</f>
        <v>#DIV/0!</v>
      </c>
      <c r="AC62" s="190" t="e">
        <f t="shared" si="35"/>
        <v>#DIV/0!</v>
      </c>
      <c r="AD62" s="190" t="e">
        <f t="shared" si="35"/>
        <v>#DIV/0!</v>
      </c>
      <c r="AE62" s="190" t="e">
        <f t="shared" si="35"/>
        <v>#DIV/0!</v>
      </c>
      <c r="AF62" s="190" t="e">
        <f t="shared" si="35"/>
        <v>#DIV/0!</v>
      </c>
      <c r="AG62" s="190" t="e">
        <f t="shared" si="35"/>
        <v>#DIV/0!</v>
      </c>
      <c r="AH62" s="190" t="e">
        <f t="shared" si="35"/>
        <v>#DIV/0!</v>
      </c>
      <c r="AI62" s="190" t="e">
        <f t="shared" si="35"/>
        <v>#DIV/0!</v>
      </c>
      <c r="AJ62" s="190" t="e">
        <f t="shared" si="35"/>
        <v>#DIV/0!</v>
      </c>
      <c r="AK62" s="190" t="e">
        <f t="shared" si="35"/>
        <v>#DIV/0!</v>
      </c>
      <c r="AL62" s="190" t="e">
        <f t="shared" si="35"/>
        <v>#DIV/0!</v>
      </c>
      <c r="AM62" s="190" t="e">
        <f t="shared" si="35"/>
        <v>#DIV/0!</v>
      </c>
      <c r="AN62" s="190" t="e">
        <f t="shared" si="35"/>
        <v>#DIV/0!</v>
      </c>
      <c r="AO62" s="190" t="e">
        <f t="shared" si="35"/>
        <v>#DIV/0!</v>
      </c>
      <c r="AP62" s="190" t="e">
        <f t="shared" si="35"/>
        <v>#DIV/0!</v>
      </c>
      <c r="AQ62" s="190" t="e">
        <f t="shared" si="35"/>
        <v>#DIV/0!</v>
      </c>
      <c r="AR62" s="190" t="e">
        <f t="shared" si="35"/>
        <v>#DIV/0!</v>
      </c>
      <c r="AS62" s="190" t="e">
        <f t="shared" si="35"/>
        <v>#DIV/0!</v>
      </c>
      <c r="AT62" s="190" t="e">
        <f t="shared" si="35"/>
        <v>#DIV/0!</v>
      </c>
      <c r="AU62" s="190" t="e">
        <f t="shared" si="35"/>
        <v>#DIV/0!</v>
      </c>
      <c r="AV62" s="190" t="e">
        <f t="shared" si="35"/>
        <v>#DIV/0!</v>
      </c>
      <c r="AW62" s="190" t="e">
        <f t="shared" si="35"/>
        <v>#DIV/0!</v>
      </c>
      <c r="AX62" s="190" t="e">
        <f t="shared" si="35"/>
        <v>#DIV/0!</v>
      </c>
      <c r="AY62" s="190" t="e">
        <f t="shared" si="35"/>
        <v>#DIV/0!</v>
      </c>
    </row>
    <row r="63" spans="1:51" ht="15.75" thickBot="1" x14ac:dyDescent="0.3">
      <c r="L63" s="186"/>
      <c r="M63" s="186"/>
      <c r="P63" s="187"/>
      <c r="Z63" t="s">
        <v>337</v>
      </c>
      <c r="AA63" s="190"/>
      <c r="AB63" s="190" t="e">
        <f>ROUND((SUMPRODUCT(AB3:AB60,$J$3:$J$60,$P$3:$P$60,$R$3:$R$60,$Z$3:$Z$60))/($J$2),2)</f>
        <v>#DIV/0!</v>
      </c>
      <c r="AC63" s="190" t="e">
        <f t="shared" ref="AC63:AY63" si="36">ROUND((SUMPRODUCT(AC3:AC60,$J$3:$J$60,$P$3:$P$60,$R$3:$R$60,$Z$3:$Z$60))/($J$2),2)</f>
        <v>#DIV/0!</v>
      </c>
      <c r="AD63" s="190" t="e">
        <f t="shared" si="36"/>
        <v>#DIV/0!</v>
      </c>
      <c r="AE63" s="190" t="e">
        <f t="shared" si="36"/>
        <v>#DIV/0!</v>
      </c>
      <c r="AF63" s="190" t="e">
        <f t="shared" si="36"/>
        <v>#DIV/0!</v>
      </c>
      <c r="AG63" s="190" t="e">
        <f t="shared" si="36"/>
        <v>#DIV/0!</v>
      </c>
      <c r="AH63" s="190" t="e">
        <f t="shared" si="36"/>
        <v>#DIV/0!</v>
      </c>
      <c r="AI63" s="190" t="e">
        <f t="shared" si="36"/>
        <v>#DIV/0!</v>
      </c>
      <c r="AJ63" s="190" t="e">
        <f t="shared" si="36"/>
        <v>#DIV/0!</v>
      </c>
      <c r="AK63" s="190" t="e">
        <f t="shared" si="36"/>
        <v>#DIV/0!</v>
      </c>
      <c r="AL63" s="190" t="e">
        <f t="shared" si="36"/>
        <v>#DIV/0!</v>
      </c>
      <c r="AM63" s="190" t="e">
        <f t="shared" si="36"/>
        <v>#DIV/0!</v>
      </c>
      <c r="AN63" s="190" t="e">
        <f t="shared" si="36"/>
        <v>#DIV/0!</v>
      </c>
      <c r="AO63" s="190" t="e">
        <f t="shared" si="36"/>
        <v>#DIV/0!</v>
      </c>
      <c r="AP63" s="190" t="e">
        <f t="shared" si="36"/>
        <v>#DIV/0!</v>
      </c>
      <c r="AQ63" s="190" t="e">
        <f t="shared" si="36"/>
        <v>#DIV/0!</v>
      </c>
      <c r="AR63" s="190" t="e">
        <f t="shared" si="36"/>
        <v>#DIV/0!</v>
      </c>
      <c r="AS63" s="190" t="e">
        <f t="shared" si="36"/>
        <v>#DIV/0!</v>
      </c>
      <c r="AT63" s="190" t="e">
        <f t="shared" si="36"/>
        <v>#DIV/0!</v>
      </c>
      <c r="AU63" s="190" t="e">
        <f t="shared" si="36"/>
        <v>#DIV/0!</v>
      </c>
      <c r="AV63" s="190" t="e">
        <f t="shared" si="36"/>
        <v>#DIV/0!</v>
      </c>
      <c r="AW63" s="190" t="e">
        <f t="shared" si="36"/>
        <v>#DIV/0!</v>
      </c>
      <c r="AX63" s="190" t="e">
        <f t="shared" si="36"/>
        <v>#DIV/0!</v>
      </c>
      <c r="AY63" s="190" t="e">
        <f t="shared" si="36"/>
        <v>#DIV/0!</v>
      </c>
    </row>
    <row r="64" spans="1:51" ht="15.75" thickBot="1" x14ac:dyDescent="0.3">
      <c r="E64" s="492" t="s">
        <v>338</v>
      </c>
      <c r="F64" s="493"/>
      <c r="G64" s="493"/>
      <c r="H64" s="493"/>
      <c r="I64" s="493"/>
      <c r="J64" s="494"/>
      <c r="K64" s="191" t="s">
        <v>339</v>
      </c>
      <c r="L64" s="186"/>
      <c r="M64" s="186"/>
      <c r="N64" s="492" t="s">
        <v>340</v>
      </c>
      <c r="O64" s="494"/>
      <c r="P64" s="187"/>
    </row>
    <row r="65" spans="1:51" ht="28.9" customHeight="1" thickBot="1" x14ac:dyDescent="0.3">
      <c r="A65" s="192"/>
      <c r="B65" s="193" t="s">
        <v>243</v>
      </c>
      <c r="C65" s="193" t="s">
        <v>23</v>
      </c>
      <c r="D65" s="194" t="s">
        <v>244</v>
      </c>
      <c r="E65" s="81" t="s">
        <v>341</v>
      </c>
      <c r="F65" s="82" t="s">
        <v>342</v>
      </c>
      <c r="G65" s="82" t="s">
        <v>343</v>
      </c>
      <c r="H65" s="82" t="s">
        <v>247</v>
      </c>
      <c r="I65" s="82" t="s">
        <v>344</v>
      </c>
      <c r="J65" s="83" t="s">
        <v>344</v>
      </c>
      <c r="K65" s="195" t="s">
        <v>345</v>
      </c>
      <c r="L65" s="186"/>
      <c r="M65" s="186"/>
      <c r="N65" s="196" t="s">
        <v>346</v>
      </c>
      <c r="O65" s="83" t="s">
        <v>252</v>
      </c>
      <c r="P65" s="81" t="s">
        <v>253</v>
      </c>
      <c r="Q65" s="84" t="s">
        <v>254</v>
      </c>
      <c r="R65" s="84" t="s">
        <v>255</v>
      </c>
      <c r="S65" s="82" t="s">
        <v>256</v>
      </c>
      <c r="T65" s="84" t="s">
        <v>347</v>
      </c>
      <c r="U65" s="84" t="s">
        <v>348</v>
      </c>
      <c r="V65" s="197" t="s">
        <v>349</v>
      </c>
      <c r="X65" s="83" t="s">
        <v>350</v>
      </c>
      <c r="AB65" s="86">
        <v>1</v>
      </c>
      <c r="AC65" s="86">
        <v>2</v>
      </c>
      <c r="AD65" s="86">
        <v>3</v>
      </c>
      <c r="AE65" s="86">
        <v>4</v>
      </c>
      <c r="AF65" s="86">
        <v>5</v>
      </c>
      <c r="AG65" s="86">
        <v>6</v>
      </c>
      <c r="AH65" s="86">
        <v>7</v>
      </c>
      <c r="AI65" s="86">
        <v>8</v>
      </c>
      <c r="AJ65" s="86">
        <v>9</v>
      </c>
      <c r="AK65" s="86">
        <v>10</v>
      </c>
      <c r="AL65" s="86">
        <v>11</v>
      </c>
      <c r="AM65" s="86">
        <v>12</v>
      </c>
      <c r="AN65" s="86">
        <v>13</v>
      </c>
      <c r="AO65" s="86">
        <v>14</v>
      </c>
      <c r="AP65" s="86">
        <v>15</v>
      </c>
      <c r="AQ65" s="86">
        <v>16</v>
      </c>
      <c r="AR65" s="86">
        <v>17</v>
      </c>
      <c r="AS65" s="86">
        <v>18</v>
      </c>
      <c r="AT65" s="86">
        <v>19</v>
      </c>
      <c r="AU65" s="86">
        <v>20</v>
      </c>
      <c r="AV65" s="86">
        <v>21</v>
      </c>
      <c r="AW65" s="86">
        <v>22</v>
      </c>
      <c r="AX65" s="86">
        <v>23</v>
      </c>
      <c r="AY65" s="86">
        <v>24</v>
      </c>
    </row>
    <row r="66" spans="1:51" x14ac:dyDescent="0.25">
      <c r="A66" s="483" t="s">
        <v>351</v>
      </c>
      <c r="B66" s="96"/>
      <c r="C66" s="95" t="s">
        <v>352</v>
      </c>
      <c r="D66" s="239"/>
      <c r="E66" s="199"/>
      <c r="F66" s="200"/>
      <c r="G66" s="200"/>
      <c r="H66" s="200"/>
      <c r="I66" s="200"/>
      <c r="J66" s="201"/>
      <c r="K66" s="202">
        <v>130000</v>
      </c>
      <c r="L66" s="186"/>
      <c r="M66" s="186"/>
      <c r="N66" s="203" t="s">
        <v>353</v>
      </c>
      <c r="O66" s="204">
        <v>0.1</v>
      </c>
      <c r="P66" s="205">
        <f>((K66*O66)/3.412)/1000</f>
        <v>3.8100820633059787</v>
      </c>
      <c r="Q66" s="101">
        <f>$V$92</f>
        <v>1</v>
      </c>
      <c r="R66" s="103" t="s">
        <v>273</v>
      </c>
      <c r="S66" s="95">
        <v>2</v>
      </c>
      <c r="T66" s="206">
        <f>D66*Q66*S66*P66*3.412*$O$130</f>
        <v>0</v>
      </c>
      <c r="U66" s="95">
        <f>$O$132</f>
        <v>251</v>
      </c>
      <c r="V66" s="207">
        <f>T66*$O$132</f>
        <v>0</v>
      </c>
      <c r="X66" s="208"/>
      <c r="AA66" s="86" t="str">
        <f>C66</f>
        <v>TILT SKILLET</v>
      </c>
      <c r="AB66" s="106"/>
      <c r="AC66" s="106"/>
      <c r="AD66" s="106"/>
      <c r="AE66" s="106"/>
      <c r="AF66" s="106"/>
      <c r="AG66" s="106"/>
      <c r="AH66" s="106"/>
      <c r="AI66" s="106"/>
      <c r="AJ66" s="106"/>
      <c r="AK66" s="107">
        <f>$P$9</f>
        <v>1</v>
      </c>
      <c r="AL66" s="107">
        <f>$P$9</f>
        <v>1</v>
      </c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</row>
    <row r="67" spans="1:51" x14ac:dyDescent="0.25">
      <c r="A67" s="484"/>
      <c r="B67" s="110"/>
      <c r="C67" s="86" t="s">
        <v>354</v>
      </c>
      <c r="D67" s="244">
        <v>0</v>
      </c>
      <c r="E67" s="210"/>
      <c r="F67" s="121"/>
      <c r="G67" s="121"/>
      <c r="H67" s="121"/>
      <c r="I67" s="121"/>
      <c r="J67" s="211"/>
      <c r="K67" s="212">
        <v>200000</v>
      </c>
      <c r="L67" s="186"/>
      <c r="M67" s="186"/>
      <c r="N67" s="213" t="s">
        <v>355</v>
      </c>
      <c r="O67" s="214">
        <v>0.04</v>
      </c>
      <c r="P67" s="215">
        <f>((K67*O67)/3.412)/1000</f>
        <v>2.3446658851113718</v>
      </c>
      <c r="Q67" s="115">
        <f>$V$93</f>
        <v>1</v>
      </c>
      <c r="R67" s="117" t="s">
        <v>275</v>
      </c>
      <c r="S67" s="86">
        <v>6</v>
      </c>
      <c r="T67" s="216">
        <f>D67*Q67*S67*P67*3.412*$O$130</f>
        <v>0</v>
      </c>
      <c r="U67" s="86">
        <f>$O$132</f>
        <v>251</v>
      </c>
      <c r="V67" s="217">
        <f>T67*$O$132</f>
        <v>0</v>
      </c>
      <c r="W67" s="218"/>
      <c r="X67" s="219"/>
      <c r="AA67" s="86" t="str">
        <f>C67</f>
        <v>STEAMER</v>
      </c>
      <c r="AB67" s="86"/>
      <c r="AC67" s="86"/>
      <c r="AD67" s="86"/>
      <c r="AE67" s="86"/>
      <c r="AF67" s="86"/>
      <c r="AG67" s="86"/>
      <c r="AH67" s="86"/>
      <c r="AI67" s="107">
        <f t="shared" ref="AI67:AN67" si="37">$P$11</f>
        <v>1</v>
      </c>
      <c r="AJ67" s="107">
        <f t="shared" si="37"/>
        <v>1</v>
      </c>
      <c r="AK67" s="107">
        <f t="shared" si="37"/>
        <v>1</v>
      </c>
      <c r="AL67" s="107">
        <f t="shared" si="37"/>
        <v>1</v>
      </c>
      <c r="AM67" s="107">
        <f t="shared" si="37"/>
        <v>1</v>
      </c>
      <c r="AN67" s="107">
        <f t="shared" si="37"/>
        <v>1</v>
      </c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</row>
    <row r="68" spans="1:51" x14ac:dyDescent="0.25">
      <c r="A68" s="484"/>
      <c r="B68" s="110"/>
      <c r="C68" s="86" t="s">
        <v>356</v>
      </c>
      <c r="D68" s="244">
        <v>0</v>
      </c>
      <c r="E68" s="210"/>
      <c r="F68" s="121"/>
      <c r="G68" s="121"/>
      <c r="H68" s="121"/>
      <c r="I68" s="121"/>
      <c r="J68" s="211"/>
      <c r="K68" s="212">
        <v>110000</v>
      </c>
      <c r="L68" s="186"/>
      <c r="M68" s="186"/>
      <c r="N68" s="213" t="s">
        <v>357</v>
      </c>
      <c r="O68" s="214">
        <v>0.08</v>
      </c>
      <c r="P68" s="215">
        <f>((K68*O68)/3.412)/1000</f>
        <v>2.5791324736225087</v>
      </c>
      <c r="Q68" s="115">
        <f>$V$94</f>
        <v>1</v>
      </c>
      <c r="R68" s="117" t="s">
        <v>275</v>
      </c>
      <c r="S68" s="86">
        <v>6</v>
      </c>
      <c r="T68" s="216">
        <f>D68*Q68*S68*P68*3.412*$O$130</f>
        <v>0</v>
      </c>
      <c r="U68" s="86">
        <f>$O$132</f>
        <v>251</v>
      </c>
      <c r="V68" s="217">
        <f>T68*$O$132</f>
        <v>0</v>
      </c>
      <c r="W68" s="218"/>
      <c r="X68" s="219"/>
      <c r="AA68" s="86" t="str">
        <f>C68</f>
        <v>DBL. DECK. CONVECTION   OVEN x2</v>
      </c>
      <c r="AB68" s="86"/>
      <c r="AC68" s="86"/>
      <c r="AD68" s="86"/>
      <c r="AE68" s="86"/>
      <c r="AF68" s="86"/>
      <c r="AG68" s="86"/>
      <c r="AH68" s="86"/>
      <c r="AI68" s="107">
        <f t="shared" ref="AI68:AN69" si="38">$P$12</f>
        <v>1</v>
      </c>
      <c r="AJ68" s="107">
        <f t="shared" si="38"/>
        <v>1</v>
      </c>
      <c r="AK68" s="107">
        <f t="shared" si="38"/>
        <v>1</v>
      </c>
      <c r="AL68" s="107">
        <f t="shared" si="38"/>
        <v>1</v>
      </c>
      <c r="AM68" s="107">
        <f t="shared" si="38"/>
        <v>1</v>
      </c>
      <c r="AN68" s="107">
        <f t="shared" si="38"/>
        <v>1</v>
      </c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</row>
    <row r="69" spans="1:51" ht="15.75" thickBot="1" x14ac:dyDescent="0.3">
      <c r="A69" s="485"/>
      <c r="B69" s="137"/>
      <c r="C69" s="136" t="s">
        <v>358</v>
      </c>
      <c r="D69" s="248">
        <v>0</v>
      </c>
      <c r="E69" s="221"/>
      <c r="F69" s="183"/>
      <c r="G69" s="183"/>
      <c r="H69" s="183"/>
      <c r="I69" s="183"/>
      <c r="J69" s="222"/>
      <c r="K69" s="223">
        <v>180000</v>
      </c>
      <c r="L69" s="186"/>
      <c r="M69" s="186"/>
      <c r="N69" s="224" t="s">
        <v>359</v>
      </c>
      <c r="O69" s="225">
        <v>0.85</v>
      </c>
      <c r="P69" s="226">
        <f>((K69*O69)/3.412)/1000</f>
        <v>44.841735052754984</v>
      </c>
      <c r="Q69" s="142">
        <f>$V$95</f>
        <v>1</v>
      </c>
      <c r="R69" s="144" t="s">
        <v>275</v>
      </c>
      <c r="S69" s="136">
        <v>6</v>
      </c>
      <c r="T69" s="227">
        <f>D69*Q69*S69*P69*3.412*$O$130</f>
        <v>0</v>
      </c>
      <c r="U69" s="136">
        <f>$O$132</f>
        <v>251</v>
      </c>
      <c r="V69" s="228">
        <f>T69*$O$132</f>
        <v>0</v>
      </c>
      <c r="W69" s="218"/>
      <c r="X69" s="229"/>
      <c r="AA69" s="86" t="str">
        <f>C69</f>
        <v>COMBI RANGE W/ OVEN</v>
      </c>
      <c r="AB69" s="86"/>
      <c r="AC69" s="86"/>
      <c r="AD69" s="86"/>
      <c r="AE69" s="86"/>
      <c r="AF69" s="86"/>
      <c r="AG69" s="86"/>
      <c r="AH69" s="86"/>
      <c r="AI69" s="107">
        <f t="shared" si="38"/>
        <v>1</v>
      </c>
      <c r="AJ69" s="107">
        <f t="shared" si="38"/>
        <v>1</v>
      </c>
      <c r="AK69" s="107">
        <f t="shared" si="38"/>
        <v>1</v>
      </c>
      <c r="AL69" s="107">
        <f t="shared" si="38"/>
        <v>1</v>
      </c>
      <c r="AM69" s="107">
        <f t="shared" si="38"/>
        <v>1</v>
      </c>
      <c r="AN69" s="107">
        <f t="shared" si="38"/>
        <v>1</v>
      </c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</row>
    <row r="70" spans="1:51" ht="15.75" thickBot="1" x14ac:dyDescent="0.3">
      <c r="A70" s="230"/>
      <c r="B70" s="231"/>
      <c r="C70" s="231" t="s">
        <v>184</v>
      </c>
      <c r="D70" s="231"/>
      <c r="E70" s="231"/>
      <c r="F70" s="231"/>
      <c r="G70" s="231"/>
      <c r="H70" s="231"/>
      <c r="I70" s="232"/>
      <c r="J70" s="232"/>
      <c r="K70" s="233">
        <f>SUMPRODUCT(K66:K69,D66:D69)</f>
        <v>0</v>
      </c>
      <c r="L70" s="186"/>
      <c r="M70" s="186"/>
      <c r="N70" s="231"/>
      <c r="O70" s="231" t="e">
        <f>SUMPRODUCT(K66:K69,O66:O69)/K70</f>
        <v>#DIV/0!</v>
      </c>
      <c r="P70" s="231"/>
      <c r="Q70" s="234"/>
      <c r="R70" s="231"/>
      <c r="S70" s="231"/>
      <c r="T70" s="231"/>
      <c r="U70" s="231" t="s">
        <v>184</v>
      </c>
      <c r="V70" s="235">
        <f>SUM(V66:V69)</f>
        <v>0</v>
      </c>
      <c r="X70" s="236" t="e">
        <f>V70/#REF!</f>
        <v>#REF!</v>
      </c>
      <c r="AA70" t="str">
        <f>C70</f>
        <v>Total</v>
      </c>
      <c r="AB70" t="e">
        <f t="shared" ref="AB70:AY70" si="39">ROUND(SUMPRODUCT(AB66:AB69,$K$66:$K$69,$O$66:$O$69,$D$66:$D$69)/$K$70,2)</f>
        <v>#DIV/0!</v>
      </c>
      <c r="AC70" t="e">
        <f t="shared" si="39"/>
        <v>#DIV/0!</v>
      </c>
      <c r="AD70" t="e">
        <f t="shared" si="39"/>
        <v>#DIV/0!</v>
      </c>
      <c r="AE70" t="e">
        <f t="shared" si="39"/>
        <v>#DIV/0!</v>
      </c>
      <c r="AF70" t="e">
        <f t="shared" si="39"/>
        <v>#DIV/0!</v>
      </c>
      <c r="AG70" t="e">
        <f t="shared" si="39"/>
        <v>#DIV/0!</v>
      </c>
      <c r="AH70" t="e">
        <f t="shared" si="39"/>
        <v>#DIV/0!</v>
      </c>
      <c r="AI70" t="e">
        <f t="shared" si="39"/>
        <v>#DIV/0!</v>
      </c>
      <c r="AJ70" t="e">
        <f t="shared" si="39"/>
        <v>#DIV/0!</v>
      </c>
      <c r="AK70" t="e">
        <f t="shared" si="39"/>
        <v>#DIV/0!</v>
      </c>
      <c r="AL70" t="e">
        <f t="shared" si="39"/>
        <v>#DIV/0!</v>
      </c>
      <c r="AM70" t="e">
        <f t="shared" si="39"/>
        <v>#DIV/0!</v>
      </c>
      <c r="AN70" t="e">
        <f t="shared" si="39"/>
        <v>#DIV/0!</v>
      </c>
      <c r="AO70" t="e">
        <f t="shared" si="39"/>
        <v>#DIV/0!</v>
      </c>
      <c r="AP70" t="e">
        <f t="shared" si="39"/>
        <v>#DIV/0!</v>
      </c>
      <c r="AQ70" t="e">
        <f t="shared" si="39"/>
        <v>#DIV/0!</v>
      </c>
      <c r="AR70" t="e">
        <f t="shared" si="39"/>
        <v>#DIV/0!</v>
      </c>
      <c r="AS70" t="e">
        <f t="shared" si="39"/>
        <v>#DIV/0!</v>
      </c>
      <c r="AT70" t="e">
        <f t="shared" si="39"/>
        <v>#DIV/0!</v>
      </c>
      <c r="AU70" t="e">
        <f t="shared" si="39"/>
        <v>#DIV/0!</v>
      </c>
      <c r="AV70" t="e">
        <f t="shared" si="39"/>
        <v>#DIV/0!</v>
      </c>
      <c r="AW70" t="e">
        <f t="shared" si="39"/>
        <v>#DIV/0!</v>
      </c>
      <c r="AX70" t="e">
        <f t="shared" si="39"/>
        <v>#DIV/0!</v>
      </c>
      <c r="AY70" t="e">
        <f t="shared" si="39"/>
        <v>#DIV/0!</v>
      </c>
    </row>
    <row r="71" spans="1:51" ht="15.75" thickBot="1" x14ac:dyDescent="0.3">
      <c r="A71" s="237"/>
      <c r="L71" s="186"/>
      <c r="M71" s="186"/>
      <c r="P71" s="187"/>
      <c r="V71" s="238"/>
      <c r="W71" s="218"/>
      <c r="X71" s="56"/>
    </row>
    <row r="72" spans="1:51" x14ac:dyDescent="0.25">
      <c r="A72" s="483" t="s">
        <v>360</v>
      </c>
      <c r="B72" s="96"/>
      <c r="C72" s="95" t="s">
        <v>352</v>
      </c>
      <c r="D72" s="239"/>
      <c r="E72" s="240">
        <v>18</v>
      </c>
      <c r="F72" s="98">
        <v>50</v>
      </c>
      <c r="G72" s="98">
        <v>208</v>
      </c>
      <c r="H72" s="98">
        <v>3</v>
      </c>
      <c r="I72" s="241">
        <f>F72*G72*SQRT(H72)</f>
        <v>18013.328398716323</v>
      </c>
      <c r="J72" s="242">
        <f t="shared" ref="J72:J75" si="40">I72/1000</f>
        <v>18.013328398716322</v>
      </c>
      <c r="K72" s="243"/>
      <c r="L72" s="186"/>
      <c r="M72" s="186"/>
      <c r="N72" s="203" t="s">
        <v>361</v>
      </c>
      <c r="O72" s="204">
        <v>0.16</v>
      </c>
      <c r="P72" s="205">
        <f>E72*O72</f>
        <v>2.88</v>
      </c>
      <c r="Q72" s="101">
        <f>$V$92</f>
        <v>1</v>
      </c>
      <c r="R72" s="103" t="s">
        <v>273</v>
      </c>
      <c r="S72" s="95">
        <v>2</v>
      </c>
      <c r="T72" s="102">
        <f>D72*Q72*S72*P72*3.412*$O$129</f>
        <v>0</v>
      </c>
      <c r="U72" s="95">
        <f>$O$132</f>
        <v>251</v>
      </c>
      <c r="V72" s="207">
        <f>T72*$O$132</f>
        <v>0</v>
      </c>
      <c r="X72" s="208"/>
      <c r="AA72" s="86" t="str">
        <f>C72</f>
        <v>TILT SKILLET</v>
      </c>
      <c r="AB72" s="106"/>
      <c r="AC72" s="106"/>
      <c r="AD72" s="106"/>
      <c r="AE72" s="106"/>
      <c r="AF72" s="106"/>
      <c r="AG72" s="106"/>
      <c r="AH72" s="106"/>
      <c r="AI72" s="106"/>
      <c r="AJ72" s="106"/>
      <c r="AK72" s="107">
        <f>$P$9</f>
        <v>1</v>
      </c>
      <c r="AL72" s="107">
        <f>$P$9</f>
        <v>1</v>
      </c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</row>
    <row r="73" spans="1:51" x14ac:dyDescent="0.25">
      <c r="A73" s="484"/>
      <c r="B73" s="110"/>
      <c r="C73" s="86" t="s">
        <v>362</v>
      </c>
      <c r="D73" s="244"/>
      <c r="E73" s="245">
        <v>10.7</v>
      </c>
      <c r="F73" s="112">
        <v>29.8</v>
      </c>
      <c r="G73" s="112">
        <v>208</v>
      </c>
      <c r="H73" s="112">
        <v>3</v>
      </c>
      <c r="I73" s="106">
        <f t="shared" ref="I73:I75" si="41">F73*G73*SQRT(H73)</f>
        <v>10735.94372563493</v>
      </c>
      <c r="J73" s="246">
        <f t="shared" si="40"/>
        <v>10.735943725634931</v>
      </c>
      <c r="K73" s="247"/>
      <c r="L73" s="186"/>
      <c r="M73" s="186"/>
      <c r="N73" s="213" t="s">
        <v>363</v>
      </c>
      <c r="O73" s="214">
        <v>0.04</v>
      </c>
      <c r="P73" s="215">
        <f>E73*O73</f>
        <v>0.42799999999999999</v>
      </c>
      <c r="Q73" s="115">
        <f>$V$93</f>
        <v>1</v>
      </c>
      <c r="R73" s="117" t="s">
        <v>275</v>
      </c>
      <c r="S73" s="86">
        <v>6</v>
      </c>
      <c r="T73" s="116">
        <f>D73*Q73*S73*P73*3.412*$O$129</f>
        <v>0</v>
      </c>
      <c r="U73" s="86">
        <f>$O$132</f>
        <v>251</v>
      </c>
      <c r="V73" s="217">
        <f>T73*$O$132</f>
        <v>0</v>
      </c>
      <c r="X73" s="219"/>
      <c r="AA73" s="86" t="str">
        <f>C73</f>
        <v>CONVECTION STEAMER</v>
      </c>
      <c r="AB73" s="86"/>
      <c r="AC73" s="86"/>
      <c r="AD73" s="86"/>
      <c r="AE73" s="86"/>
      <c r="AF73" s="86"/>
      <c r="AG73" s="86"/>
      <c r="AH73" s="86"/>
      <c r="AI73" s="107">
        <f t="shared" ref="AI73:AN73" si="42">$P$11</f>
        <v>1</v>
      </c>
      <c r="AJ73" s="107">
        <f t="shared" si="42"/>
        <v>1</v>
      </c>
      <c r="AK73" s="107">
        <f t="shared" si="42"/>
        <v>1</v>
      </c>
      <c r="AL73" s="107">
        <f t="shared" si="42"/>
        <v>1</v>
      </c>
      <c r="AM73" s="107">
        <f t="shared" si="42"/>
        <v>1</v>
      </c>
      <c r="AN73" s="107">
        <f t="shared" si="42"/>
        <v>1</v>
      </c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</row>
    <row r="74" spans="1:51" x14ac:dyDescent="0.25">
      <c r="A74" s="484"/>
      <c r="B74" s="110"/>
      <c r="C74" s="86" t="s">
        <v>364</v>
      </c>
      <c r="D74" s="244"/>
      <c r="E74" s="245">
        <v>16.5</v>
      </c>
      <c r="F74" s="112">
        <v>45.7</v>
      </c>
      <c r="G74" s="112">
        <v>208</v>
      </c>
      <c r="H74" s="112">
        <v>3</v>
      </c>
      <c r="I74" s="106">
        <f t="shared" si="41"/>
        <v>16464.182156426719</v>
      </c>
      <c r="J74" s="246">
        <f t="shared" si="40"/>
        <v>16.46418215642672</v>
      </c>
      <c r="K74" s="247"/>
      <c r="L74" s="186"/>
      <c r="M74" s="186"/>
      <c r="N74" s="213" t="s">
        <v>365</v>
      </c>
      <c r="O74" s="214">
        <v>0.1</v>
      </c>
      <c r="P74" s="215">
        <f>E74*O74</f>
        <v>1.6500000000000001</v>
      </c>
      <c r="Q74" s="115">
        <f>$V$94</f>
        <v>1</v>
      </c>
      <c r="R74" s="117" t="s">
        <v>275</v>
      </c>
      <c r="S74" s="86">
        <v>6</v>
      </c>
      <c r="T74" s="116">
        <f>D74*Q74*S74*P74*3.412*$O$129</f>
        <v>0</v>
      </c>
      <c r="U74" s="86">
        <f>$O$132</f>
        <v>251</v>
      </c>
      <c r="V74" s="217">
        <f>T74*$O$132</f>
        <v>0</v>
      </c>
      <c r="X74" s="219"/>
      <c r="AA74" s="86" t="str">
        <f>C74</f>
        <v>COMBI OVEN</v>
      </c>
      <c r="AB74" s="86"/>
      <c r="AC74" s="86"/>
      <c r="AD74" s="86"/>
      <c r="AE74" s="86"/>
      <c r="AF74" s="86"/>
      <c r="AG74" s="86"/>
      <c r="AH74" s="86"/>
      <c r="AI74" s="107">
        <f t="shared" ref="AI74:AN75" si="43">$P$12</f>
        <v>1</v>
      </c>
      <c r="AJ74" s="107">
        <f t="shared" si="43"/>
        <v>1</v>
      </c>
      <c r="AK74" s="107">
        <f t="shared" si="43"/>
        <v>1</v>
      </c>
      <c r="AL74" s="107">
        <f t="shared" si="43"/>
        <v>1</v>
      </c>
      <c r="AM74" s="107">
        <f t="shared" si="43"/>
        <v>1</v>
      </c>
      <c r="AN74" s="107">
        <f t="shared" si="43"/>
        <v>1</v>
      </c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</row>
    <row r="75" spans="1:51" ht="15.75" thickBot="1" x14ac:dyDescent="0.3">
      <c r="A75" s="485"/>
      <c r="B75" s="137"/>
      <c r="C75" s="136" t="s">
        <v>366</v>
      </c>
      <c r="D75" s="248"/>
      <c r="E75" s="249">
        <v>21.1</v>
      </c>
      <c r="F75" s="139">
        <v>66.400000000000006</v>
      </c>
      <c r="G75" s="139">
        <v>208</v>
      </c>
      <c r="H75" s="139">
        <v>3</v>
      </c>
      <c r="I75" s="250">
        <f t="shared" si="41"/>
        <v>23921.700113495277</v>
      </c>
      <c r="J75" s="251">
        <f t="shared" si="40"/>
        <v>23.921700113495277</v>
      </c>
      <c r="K75" s="252"/>
      <c r="L75" s="186"/>
      <c r="M75" s="186"/>
      <c r="N75" s="224" t="s">
        <v>367</v>
      </c>
      <c r="O75" s="225">
        <v>0.54</v>
      </c>
      <c r="P75" s="226">
        <f>E75*O75</f>
        <v>11.394000000000002</v>
      </c>
      <c r="Q75" s="142">
        <f>$V$95</f>
        <v>1</v>
      </c>
      <c r="R75" s="144" t="s">
        <v>275</v>
      </c>
      <c r="S75" s="136">
        <v>6</v>
      </c>
      <c r="T75" s="143">
        <f>D75*Q75*S75*P75*3.412*$O$129</f>
        <v>0</v>
      </c>
      <c r="U75" s="136">
        <f>$O$132</f>
        <v>251</v>
      </c>
      <c r="V75" s="228">
        <f>T75*$O$132</f>
        <v>0</v>
      </c>
      <c r="X75" s="229"/>
      <c r="AA75" s="86" t="str">
        <f>C75</f>
        <v>INDUCTION RANGE</v>
      </c>
      <c r="AB75" s="86"/>
      <c r="AC75" s="86"/>
      <c r="AD75" s="86"/>
      <c r="AE75" s="86"/>
      <c r="AF75" s="86"/>
      <c r="AG75" s="86"/>
      <c r="AH75" s="86"/>
      <c r="AI75" s="107">
        <f t="shared" si="43"/>
        <v>1</v>
      </c>
      <c r="AJ75" s="107">
        <f t="shared" si="43"/>
        <v>1</v>
      </c>
      <c r="AK75" s="107">
        <f t="shared" si="43"/>
        <v>1</v>
      </c>
      <c r="AL75" s="107">
        <f t="shared" si="43"/>
        <v>1</v>
      </c>
      <c r="AM75" s="107">
        <f t="shared" si="43"/>
        <v>1</v>
      </c>
      <c r="AN75" s="107">
        <f t="shared" si="43"/>
        <v>1</v>
      </c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</row>
    <row r="76" spans="1:51" ht="15.75" thickBot="1" x14ac:dyDescent="0.3">
      <c r="A76" s="230"/>
      <c r="B76" s="231"/>
      <c r="C76" s="231" t="s">
        <v>184</v>
      </c>
      <c r="D76" s="231"/>
      <c r="E76" s="231"/>
      <c r="F76" s="231"/>
      <c r="G76" s="231"/>
      <c r="H76" s="231"/>
      <c r="I76" s="232"/>
      <c r="J76" s="232">
        <f>SUMPRODUCT(D72:D75,J72:J75)</f>
        <v>0</v>
      </c>
      <c r="K76" s="233"/>
      <c r="L76" s="186"/>
      <c r="M76" s="186"/>
      <c r="N76" s="231"/>
      <c r="O76" s="231"/>
      <c r="P76" s="231"/>
      <c r="Q76" s="234"/>
      <c r="R76" s="231"/>
      <c r="S76" s="231"/>
      <c r="T76" s="231"/>
      <c r="U76" s="231" t="s">
        <v>184</v>
      </c>
      <c r="V76" s="235">
        <f>SUM(V72:V75)</f>
        <v>0</v>
      </c>
      <c r="X76" s="236" t="e">
        <f>V76/#REF!</f>
        <v>#REF!</v>
      </c>
      <c r="AA76" t="str">
        <f>C76</f>
        <v>Total</v>
      </c>
      <c r="AB76" t="e">
        <f>ROUND(SUMPRODUCT(AB72:AB75,$J$72:$J75,$O$72:$O$75,$D$72:$D$75)/$J$76,2)</f>
        <v>#DIV/0!</v>
      </c>
      <c r="AC76" t="e">
        <f>ROUND(SUMPRODUCT(AC72:AC75,$J$72:$J75,$O$72:$O$75,$D$72:$D$75)/$J$76,2)</f>
        <v>#DIV/0!</v>
      </c>
      <c r="AD76" t="e">
        <f>ROUND(SUMPRODUCT(AD72:AD75,$J$72:$J75,$O$72:$O$75,$D$72:$D$75)/$J$76,2)</f>
        <v>#DIV/0!</v>
      </c>
      <c r="AE76" t="e">
        <f>ROUND(SUMPRODUCT(AE72:AE75,$J$72:$J75,$O$72:$O$75,$D$72:$D$75)/$J$76,2)</f>
        <v>#DIV/0!</v>
      </c>
      <c r="AF76" t="e">
        <f>ROUND(SUMPRODUCT(AF72:AF75,$J$72:$J75,$O$72:$O$75,$D$72:$D$75)/$J$76,2)</f>
        <v>#DIV/0!</v>
      </c>
      <c r="AG76" t="e">
        <f>ROUND(SUMPRODUCT(AG72:AG75,$J$72:$J75,$O$72:$O$75,$D$72:$D$75)/$J$76,2)</f>
        <v>#DIV/0!</v>
      </c>
      <c r="AH76" t="e">
        <f>ROUND(SUMPRODUCT(AH72:AH75,$J$72:$J75,$O$72:$O$75,$D$72:$D$75)/$J$76,2)</f>
        <v>#DIV/0!</v>
      </c>
      <c r="AI76" t="e">
        <f>ROUND(SUMPRODUCT(AI72:AI75,$J$72:$J75,$O$72:$O$75,$D$72:$D$75)/$J$76,2)</f>
        <v>#DIV/0!</v>
      </c>
      <c r="AJ76" t="e">
        <f>ROUND(SUMPRODUCT(AJ72:AJ75,$J$72:$J75,$O$72:$O$75,$D$72:$D$75)/$J$76,2)</f>
        <v>#DIV/0!</v>
      </c>
      <c r="AK76" t="e">
        <f>ROUND(SUMPRODUCT(AK72:AK75,$J$72:$J75,$O$72:$O$75,$D$72:$D$75)/$J$76,2)</f>
        <v>#DIV/0!</v>
      </c>
      <c r="AL76" t="e">
        <f>ROUND(SUMPRODUCT(AL72:AL75,$J$72:$J75,$O$72:$O$75,$D$72:$D$75)/$J$76,2)</f>
        <v>#DIV/0!</v>
      </c>
      <c r="AM76" t="e">
        <f>ROUND(SUMPRODUCT(AM72:AM75,$J$72:$J75,$O$72:$O$75,$D$72:$D$75)/$J$76,2)</f>
        <v>#DIV/0!</v>
      </c>
      <c r="AN76" t="e">
        <f>ROUND(SUMPRODUCT(AN72:AN75,$J$72:$J75,$O$72:$O$75,$D$72:$D$75)/$J$76,2)</f>
        <v>#DIV/0!</v>
      </c>
      <c r="AO76" t="e">
        <f>ROUND(SUMPRODUCT(AO72:AO75,$J$72:$J75,$O$72:$O$75,$D$72:$D$75)/$J$76,2)</f>
        <v>#DIV/0!</v>
      </c>
      <c r="AP76" t="e">
        <f>ROUND(SUMPRODUCT(AP72:AP75,$J$72:$J75,$O$72:$O$75,$D$72:$D$75)/$J$76,2)</f>
        <v>#DIV/0!</v>
      </c>
      <c r="AQ76" t="e">
        <f>ROUND(SUMPRODUCT(AQ72:AQ75,$J$72:$J75,$O$72:$O$75,$D$72:$D$75)/$J$76,2)</f>
        <v>#DIV/0!</v>
      </c>
      <c r="AR76" t="e">
        <f>ROUND(SUMPRODUCT(AR72:AR75,$J$72:$J75,$O$72:$O$75,$D$72:$D$75)/$J$76,2)</f>
        <v>#DIV/0!</v>
      </c>
      <c r="AS76" t="e">
        <f>ROUND(SUMPRODUCT(AS72:AS75,$J$72:$J75,$O$72:$O$75,$D$72:$D$75)/$J$76,2)</f>
        <v>#DIV/0!</v>
      </c>
      <c r="AT76" t="e">
        <f>ROUND(SUMPRODUCT(AT72:AT75,$J$72:$J75,$O$72:$O$75,$D$72:$D$75)/$J$76,2)</f>
        <v>#DIV/0!</v>
      </c>
      <c r="AU76" t="e">
        <f>ROUND(SUMPRODUCT(AU72:AU75,$J$72:$J75,$O$72:$O$75,$D$72:$D$75)/$J$76,2)</f>
        <v>#DIV/0!</v>
      </c>
      <c r="AV76" t="e">
        <f>ROUND(SUMPRODUCT(AV72:AV75,$J$72:$J75,$O$72:$O$75,$D$72:$D$75)/$J$76,2)</f>
        <v>#DIV/0!</v>
      </c>
      <c r="AW76" t="e">
        <f>ROUND(SUMPRODUCT(AW72:AW75,$J$72:$J75,$O$72:$O$75,$D$72:$D$75)/$J$76,2)</f>
        <v>#DIV/0!</v>
      </c>
      <c r="AX76" t="e">
        <f>ROUND(SUMPRODUCT(AX72:AX75,$J$72:$J75,$O$72:$O$75,$D$72:$D$75)/$J$76,2)</f>
        <v>#DIV/0!</v>
      </c>
      <c r="AY76" t="e">
        <f>ROUND(SUMPRODUCT(AY72:AY75,$J$72:$J75,$O$72:$O$75,$D$72:$D$75)/$J$76,2)</f>
        <v>#DIV/0!</v>
      </c>
    </row>
    <row r="77" spans="1:51" ht="15.75" thickBot="1" x14ac:dyDescent="0.3">
      <c r="A77" s="237"/>
      <c r="L77" s="186"/>
      <c r="M77" s="186"/>
      <c r="P77" s="187"/>
      <c r="V77" s="238"/>
      <c r="W77" s="218"/>
      <c r="X77" s="56"/>
    </row>
    <row r="78" spans="1:51" ht="15.75" thickBot="1" x14ac:dyDescent="0.3">
      <c r="E78" s="492" t="s">
        <v>338</v>
      </c>
      <c r="F78" s="493"/>
      <c r="G78" s="493"/>
      <c r="H78" s="493"/>
      <c r="I78" s="493"/>
      <c r="J78" s="494"/>
      <c r="L78" s="186"/>
      <c r="M78" s="186"/>
      <c r="P78" s="187"/>
      <c r="V78" s="238"/>
      <c r="W78" s="218"/>
      <c r="X78" s="56"/>
    </row>
    <row r="79" spans="1:51" ht="30.75" thickBot="1" x14ac:dyDescent="0.3">
      <c r="A79" s="192"/>
      <c r="B79" s="193" t="s">
        <v>243</v>
      </c>
      <c r="C79" s="193" t="s">
        <v>23</v>
      </c>
      <c r="D79" s="194" t="s">
        <v>244</v>
      </c>
      <c r="E79" s="81" t="s">
        <v>341</v>
      </c>
      <c r="F79" s="82" t="s">
        <v>342</v>
      </c>
      <c r="G79" s="82" t="s">
        <v>343</v>
      </c>
      <c r="H79" s="82" t="s">
        <v>247</v>
      </c>
      <c r="I79" s="82" t="s">
        <v>344</v>
      </c>
      <c r="J79" s="83" t="s">
        <v>344</v>
      </c>
      <c r="L79" s="186"/>
      <c r="M79" s="186"/>
      <c r="P79" s="187"/>
      <c r="V79" s="238"/>
      <c r="W79" s="218"/>
      <c r="X79" s="56"/>
      <c r="AB79" s="86">
        <v>1</v>
      </c>
      <c r="AC79" s="86">
        <v>2</v>
      </c>
      <c r="AD79" s="86">
        <v>3</v>
      </c>
      <c r="AE79" s="86">
        <v>4</v>
      </c>
      <c r="AF79" s="86">
        <v>5</v>
      </c>
      <c r="AG79" s="86">
        <v>6</v>
      </c>
      <c r="AH79" s="86">
        <v>7</v>
      </c>
      <c r="AI79" s="86">
        <v>8</v>
      </c>
      <c r="AJ79" s="86">
        <v>9</v>
      </c>
      <c r="AK79" s="86">
        <v>10</v>
      </c>
      <c r="AL79" s="86">
        <v>11</v>
      </c>
      <c r="AM79" s="86">
        <v>12</v>
      </c>
      <c r="AN79" s="86">
        <v>13</v>
      </c>
      <c r="AO79" s="86">
        <v>14</v>
      </c>
      <c r="AP79" s="86">
        <v>15</v>
      </c>
      <c r="AQ79" s="86">
        <v>16</v>
      </c>
      <c r="AR79" s="86">
        <v>17</v>
      </c>
      <c r="AS79" s="86">
        <v>18</v>
      </c>
      <c r="AT79" s="86">
        <v>19</v>
      </c>
      <c r="AU79" s="86">
        <v>20</v>
      </c>
      <c r="AV79" s="86">
        <v>21</v>
      </c>
      <c r="AW79" s="86">
        <v>22</v>
      </c>
      <c r="AX79" s="86">
        <v>23</v>
      </c>
      <c r="AY79" s="86">
        <v>24</v>
      </c>
    </row>
    <row r="80" spans="1:51" x14ac:dyDescent="0.25">
      <c r="A80" s="495" t="s">
        <v>623</v>
      </c>
      <c r="B80" s="94"/>
      <c r="C80" s="379" t="s">
        <v>620</v>
      </c>
      <c r="D80" s="380">
        <v>1</v>
      </c>
      <c r="E80" s="97"/>
      <c r="F80" s="98">
        <v>40.6</v>
      </c>
      <c r="G80" s="98">
        <v>208</v>
      </c>
      <c r="H80" s="98">
        <v>3</v>
      </c>
      <c r="I80" s="271">
        <f t="shared" ref="I80" si="44">F80*G80*SQRT(H80)</f>
        <v>14626.822659757656</v>
      </c>
      <c r="J80" s="381">
        <f t="shared" ref="J80:J86" si="45">D80*I80/1000</f>
        <v>14.626822659757655</v>
      </c>
      <c r="N80" s="375"/>
      <c r="O80" s="375"/>
      <c r="P80" s="374"/>
      <c r="Q80" s="376"/>
      <c r="R80" s="374"/>
      <c r="S80" s="377"/>
      <c r="T80" s="375"/>
      <c r="U80" s="376"/>
      <c r="V80" s="378"/>
      <c r="W80" s="56"/>
      <c r="X80" s="375"/>
      <c r="Y80" s="376"/>
      <c r="Z80">
        <v>0</v>
      </c>
      <c r="AA80" s="86" t="str">
        <f t="shared" ref="AA80:AA87" si="46">C80</f>
        <v>Refrigeration Rack System</v>
      </c>
      <c r="AB80" s="186">
        <v>6.1813164015787722E-2</v>
      </c>
      <c r="AC80" s="186">
        <v>5.1510494974998003E-2</v>
      </c>
      <c r="AD80" s="186">
        <v>4.8264714539278601E-2</v>
      </c>
      <c r="AE80" s="186">
        <v>4.8425526902138173E-2</v>
      </c>
      <c r="AF80" s="186">
        <v>5.7754286202691692E-2</v>
      </c>
      <c r="AG80" s="186">
        <v>6.932154406537841E-2</v>
      </c>
      <c r="AH80" s="186">
        <v>6.0092660834918828E-2</v>
      </c>
      <c r="AI80" s="186">
        <v>5.8131277469040593E-2</v>
      </c>
      <c r="AJ80" s="186">
        <v>5.9308757222711471E-2</v>
      </c>
      <c r="AK80" s="186">
        <v>5.9793673504519453E-2</v>
      </c>
      <c r="AL80" s="186">
        <v>6.7368251808015478E-2</v>
      </c>
      <c r="AM80" s="186">
        <v>7.6445375103954383E-2</v>
      </c>
      <c r="AN80" s="186">
        <v>7.2822236582479674E-2</v>
      </c>
      <c r="AO80" s="186">
        <v>6.7628860130983667E-2</v>
      </c>
      <c r="AP80" s="186">
        <v>6.545044405782538E-2</v>
      </c>
      <c r="AQ80" s="186">
        <v>6.2261440520108541E-2</v>
      </c>
      <c r="AR80" s="186">
        <v>6.2366861044448232E-2</v>
      </c>
      <c r="AS80" s="186">
        <v>7.6948364620077522E-2</v>
      </c>
      <c r="AT80" s="186">
        <v>6.8548634494574698E-2</v>
      </c>
      <c r="AU80" s="186">
        <v>6.0170217841476706E-2</v>
      </c>
      <c r="AV80" s="186">
        <v>5.6471369059421066E-2</v>
      </c>
      <c r="AW80" s="186">
        <v>5.6012393655747686E-2</v>
      </c>
      <c r="AX80" s="186">
        <v>6.41582742112526E-2</v>
      </c>
      <c r="AY80" s="186">
        <v>7.2586654197287673E-2</v>
      </c>
    </row>
    <row r="81" spans="1:51" x14ac:dyDescent="0.25">
      <c r="A81" s="496"/>
      <c r="B81" s="274"/>
      <c r="C81" s="275" t="s">
        <v>305</v>
      </c>
      <c r="D81" s="276">
        <v>1</v>
      </c>
      <c r="E81" s="277"/>
      <c r="F81" s="278">
        <v>10</v>
      </c>
      <c r="G81" s="278">
        <v>120</v>
      </c>
      <c r="H81" s="278">
        <v>1</v>
      </c>
      <c r="I81" s="279">
        <f t="shared" ref="I81:I86" si="47">IF(E81="",F81*G81*SQRT(H81),E81*1000)</f>
        <v>1200</v>
      </c>
      <c r="J81" s="280">
        <f t="shared" si="45"/>
        <v>1.2</v>
      </c>
      <c r="N81" s="375"/>
      <c r="O81" s="375"/>
      <c r="P81" s="374"/>
      <c r="Q81" s="376"/>
      <c r="R81" s="374"/>
      <c r="S81" s="377"/>
      <c r="T81" s="375"/>
      <c r="U81" s="376"/>
      <c r="V81" s="378"/>
      <c r="W81" s="56"/>
      <c r="X81" s="375"/>
      <c r="Y81" s="376"/>
      <c r="Z81">
        <v>0</v>
      </c>
      <c r="AA81" s="86" t="str">
        <f t="shared" si="46"/>
        <v>Walk-In Freezer (-10F)</v>
      </c>
      <c r="AB81" s="107">
        <f t="shared" ref="AB81:AY81" si="48">AB95</f>
        <v>1.7701149425287357E-2</v>
      </c>
      <c r="AC81" s="107">
        <f t="shared" si="48"/>
        <v>0</v>
      </c>
      <c r="AD81" s="107">
        <f t="shared" si="48"/>
        <v>0</v>
      </c>
      <c r="AE81" s="107">
        <f t="shared" si="48"/>
        <v>1.2390804597701149E-2</v>
      </c>
      <c r="AF81" s="107">
        <f t="shared" si="48"/>
        <v>1.2390804597701149E-2</v>
      </c>
      <c r="AG81" s="107">
        <f t="shared" si="48"/>
        <v>6.1954022988505745E-3</v>
      </c>
      <c r="AH81" s="107">
        <f t="shared" si="48"/>
        <v>6.9862068965517249E-2</v>
      </c>
      <c r="AI81" s="107">
        <f t="shared" si="48"/>
        <v>7.5172413793103451E-2</v>
      </c>
      <c r="AJ81" s="107">
        <f t="shared" si="48"/>
        <v>6.9862068965517249E-2</v>
      </c>
      <c r="AK81" s="107">
        <f t="shared" si="48"/>
        <v>6.3666666666666677E-2</v>
      </c>
      <c r="AL81" s="107">
        <f t="shared" si="48"/>
        <v>6.3666666666666677E-2</v>
      </c>
      <c r="AM81" s="107">
        <f t="shared" si="48"/>
        <v>6.3666666666666677E-2</v>
      </c>
      <c r="AN81" s="107">
        <f t="shared" si="48"/>
        <v>0.1813793103448276</v>
      </c>
      <c r="AO81" s="107">
        <f t="shared" si="48"/>
        <v>5.7471264367816091E-2</v>
      </c>
      <c r="AP81" s="107">
        <f t="shared" si="48"/>
        <v>6.9862068965517249E-2</v>
      </c>
      <c r="AQ81" s="107">
        <f t="shared" si="48"/>
        <v>1.2390804597701149E-2</v>
      </c>
      <c r="AR81" s="107">
        <f t="shared" si="48"/>
        <v>1.2390804597701149E-2</v>
      </c>
      <c r="AS81" s="107">
        <f t="shared" si="48"/>
        <v>6.1954022988505745E-3</v>
      </c>
      <c r="AT81" s="107">
        <f t="shared" si="48"/>
        <v>2.3896551724137932E-2</v>
      </c>
      <c r="AU81" s="107">
        <f t="shared" si="48"/>
        <v>0</v>
      </c>
      <c r="AV81" s="107">
        <f t="shared" si="48"/>
        <v>6.1954022988505745E-3</v>
      </c>
      <c r="AW81" s="107">
        <f t="shared" si="48"/>
        <v>2.3896551724137932E-2</v>
      </c>
      <c r="AX81" s="107">
        <f t="shared" si="48"/>
        <v>6.1954022988505745E-3</v>
      </c>
      <c r="AY81" s="107">
        <f t="shared" si="48"/>
        <v>6.1954022988505745E-3</v>
      </c>
    </row>
    <row r="82" spans="1:51" ht="18.600000000000001" customHeight="1" x14ac:dyDescent="0.25">
      <c r="A82" s="496"/>
      <c r="B82" s="109"/>
      <c r="C82" s="86" t="s">
        <v>621</v>
      </c>
      <c r="D82" s="110">
        <v>1</v>
      </c>
      <c r="E82" s="111"/>
      <c r="F82" s="112">
        <v>19.2</v>
      </c>
      <c r="G82" s="112">
        <v>208</v>
      </c>
      <c r="H82" s="112">
        <v>1</v>
      </c>
      <c r="I82" s="129">
        <f t="shared" si="47"/>
        <v>3993.6</v>
      </c>
      <c r="J82" s="114">
        <f t="shared" si="45"/>
        <v>3.9935999999999998</v>
      </c>
      <c r="N82" s="375"/>
      <c r="O82" s="375"/>
      <c r="P82" s="374"/>
      <c r="Q82" s="376"/>
      <c r="R82" s="374"/>
      <c r="S82" s="382"/>
      <c r="T82" s="375"/>
      <c r="U82" s="376"/>
      <c r="V82" s="378"/>
      <c r="W82" s="56"/>
      <c r="X82" s="375"/>
      <c r="Y82" s="376"/>
      <c r="Z82">
        <v>0</v>
      </c>
      <c r="AA82" s="86" t="str">
        <f t="shared" si="46"/>
        <v>Freezer Blower Coil</v>
      </c>
      <c r="AB82" s="372">
        <v>0.34415626422064188</v>
      </c>
      <c r="AC82" s="372">
        <v>0.38752234406740854</v>
      </c>
      <c r="AD82" s="372">
        <v>0.47334958761997398</v>
      </c>
      <c r="AE82" s="372">
        <v>0.36241742733159044</v>
      </c>
      <c r="AF82" s="372">
        <v>0.33148743824709487</v>
      </c>
      <c r="AG82" s="372">
        <v>0.33083440406401782</v>
      </c>
      <c r="AH82" s="372">
        <v>0.40743068505944047</v>
      </c>
      <c r="AI82" s="372">
        <v>0.5187801700677237</v>
      </c>
      <c r="AJ82" s="372">
        <v>0.40515259399379572</v>
      </c>
      <c r="AK82" s="372">
        <v>0.3910716636603242</v>
      </c>
      <c r="AL82" s="372">
        <v>0.39874973407839903</v>
      </c>
      <c r="AM82" s="372">
        <v>0.39651718624499288</v>
      </c>
      <c r="AN82" s="372">
        <v>0.44017403835000402</v>
      </c>
      <c r="AO82" s="372">
        <v>0.50210057518900986</v>
      </c>
      <c r="AP82" s="372">
        <v>0.40947685296284791</v>
      </c>
      <c r="AQ82" s="372">
        <v>0.36444710966113719</v>
      </c>
      <c r="AR82" s="372">
        <v>0.36623227717648316</v>
      </c>
      <c r="AS82" s="372">
        <v>0.35972535757943491</v>
      </c>
      <c r="AT82" s="372">
        <v>0.41751470024002213</v>
      </c>
      <c r="AU82" s="372">
        <v>0.44769406250092941</v>
      </c>
      <c r="AV82" s="372">
        <v>0.34984080316698346</v>
      </c>
      <c r="AW82" s="372">
        <v>0.34536697063521105</v>
      </c>
      <c r="AX82" s="372">
        <v>0.34470098606364702</v>
      </c>
      <c r="AY82" s="372">
        <v>0.33287814886527339</v>
      </c>
    </row>
    <row r="83" spans="1:51" x14ac:dyDescent="0.25">
      <c r="A83" s="496"/>
      <c r="B83" s="109"/>
      <c r="C83" s="86" t="s">
        <v>308</v>
      </c>
      <c r="D83" s="110">
        <v>1</v>
      </c>
      <c r="E83" s="111"/>
      <c r="F83" s="112">
        <v>15</v>
      </c>
      <c r="G83" s="112">
        <v>120</v>
      </c>
      <c r="H83" s="112">
        <v>1</v>
      </c>
      <c r="I83" s="129">
        <f t="shared" si="47"/>
        <v>1800</v>
      </c>
      <c r="J83" s="114">
        <f t="shared" si="45"/>
        <v>1.8</v>
      </c>
      <c r="N83" s="375"/>
      <c r="O83" s="375"/>
      <c r="P83" s="374"/>
      <c r="Q83" s="376"/>
      <c r="R83" s="374"/>
      <c r="S83" s="377"/>
      <c r="T83" s="375"/>
      <c r="U83" s="376"/>
      <c r="V83" s="378"/>
      <c r="W83" s="56"/>
      <c r="X83" s="375"/>
      <c r="Y83" s="376"/>
      <c r="Z83">
        <v>1</v>
      </c>
      <c r="AA83" s="86" t="str">
        <f t="shared" si="46"/>
        <v>Flip-Flop Controller</v>
      </c>
      <c r="AB83" s="148">
        <v>1</v>
      </c>
      <c r="AC83" s="148">
        <v>1</v>
      </c>
      <c r="AD83" s="148">
        <v>1</v>
      </c>
      <c r="AE83" s="148">
        <v>1</v>
      </c>
      <c r="AF83" s="148">
        <v>1</v>
      </c>
      <c r="AG83" s="148">
        <v>1</v>
      </c>
      <c r="AH83" s="148">
        <v>1</v>
      </c>
      <c r="AI83" s="148">
        <v>1</v>
      </c>
      <c r="AJ83" s="148">
        <v>1</v>
      </c>
      <c r="AK83" s="148">
        <v>1</v>
      </c>
      <c r="AL83" s="148">
        <v>1</v>
      </c>
      <c r="AM83" s="148">
        <v>1</v>
      </c>
      <c r="AN83" s="148">
        <v>1</v>
      </c>
      <c r="AO83" s="148">
        <v>1</v>
      </c>
      <c r="AP83" s="148">
        <v>1</v>
      </c>
      <c r="AQ83" s="148">
        <v>1</v>
      </c>
      <c r="AR83" s="148">
        <v>1</v>
      </c>
      <c r="AS83" s="148">
        <v>1</v>
      </c>
      <c r="AT83" s="148">
        <v>1</v>
      </c>
      <c r="AU83" s="148">
        <v>1</v>
      </c>
      <c r="AV83" s="148">
        <v>1</v>
      </c>
      <c r="AW83" s="148">
        <v>1</v>
      </c>
      <c r="AX83" s="148">
        <v>1</v>
      </c>
      <c r="AY83" s="148">
        <v>1</v>
      </c>
    </row>
    <row r="84" spans="1:51" x14ac:dyDescent="0.25">
      <c r="A84" s="496"/>
      <c r="B84" s="109"/>
      <c r="C84" s="86" t="s">
        <v>309</v>
      </c>
      <c r="D84" s="110">
        <v>1</v>
      </c>
      <c r="E84" s="111"/>
      <c r="F84" s="112">
        <v>10</v>
      </c>
      <c r="G84" s="112">
        <v>120</v>
      </c>
      <c r="H84" s="112">
        <v>1</v>
      </c>
      <c r="I84" s="129">
        <f t="shared" si="47"/>
        <v>1200</v>
      </c>
      <c r="J84" s="114">
        <f t="shared" si="45"/>
        <v>1.2</v>
      </c>
      <c r="N84" s="375"/>
      <c r="O84" s="375"/>
      <c r="P84" s="374"/>
      <c r="Q84" s="376"/>
      <c r="R84" s="374"/>
      <c r="S84" s="377"/>
      <c r="T84" s="375"/>
      <c r="U84" s="376"/>
      <c r="V84" s="378"/>
      <c r="W84" s="56"/>
      <c r="X84" s="375"/>
      <c r="Y84" s="376"/>
      <c r="Z84">
        <v>0</v>
      </c>
      <c r="AA84" s="86" t="str">
        <f t="shared" si="46"/>
        <v>Walk-In Refrigerator (+35F)</v>
      </c>
      <c r="AB84" s="107">
        <f t="shared" ref="AB84:AY84" si="49">AB91</f>
        <v>0</v>
      </c>
      <c r="AC84" s="107">
        <f t="shared" si="49"/>
        <v>0</v>
      </c>
      <c r="AD84" s="107">
        <f t="shared" si="49"/>
        <v>0</v>
      </c>
      <c r="AE84" s="107">
        <f t="shared" si="49"/>
        <v>0</v>
      </c>
      <c r="AF84" s="107">
        <f t="shared" si="49"/>
        <v>0</v>
      </c>
      <c r="AG84" s="107">
        <f t="shared" si="49"/>
        <v>0</v>
      </c>
      <c r="AH84" s="107">
        <f t="shared" si="49"/>
        <v>0.5</v>
      </c>
      <c r="AI84" s="107">
        <f t="shared" si="49"/>
        <v>0.5</v>
      </c>
      <c r="AJ84" s="107">
        <f t="shared" si="49"/>
        <v>0.5</v>
      </c>
      <c r="AK84" s="107">
        <f t="shared" si="49"/>
        <v>0.5</v>
      </c>
      <c r="AL84" s="107">
        <f t="shared" si="49"/>
        <v>0.5</v>
      </c>
      <c r="AM84" s="107">
        <f t="shared" si="49"/>
        <v>0.5</v>
      </c>
      <c r="AN84" s="107">
        <f t="shared" si="49"/>
        <v>0.5</v>
      </c>
      <c r="AO84" s="107">
        <f t="shared" si="49"/>
        <v>0.5</v>
      </c>
      <c r="AP84" s="107">
        <f t="shared" si="49"/>
        <v>0.5</v>
      </c>
      <c r="AQ84" s="107">
        <f t="shared" si="49"/>
        <v>0</v>
      </c>
      <c r="AR84" s="107">
        <f t="shared" si="49"/>
        <v>0</v>
      </c>
      <c r="AS84" s="107">
        <f t="shared" si="49"/>
        <v>0</v>
      </c>
      <c r="AT84" s="107">
        <f t="shared" si="49"/>
        <v>0</v>
      </c>
      <c r="AU84" s="107">
        <f t="shared" si="49"/>
        <v>0</v>
      </c>
      <c r="AV84" s="107">
        <f t="shared" si="49"/>
        <v>0</v>
      </c>
      <c r="AW84" s="107">
        <f t="shared" si="49"/>
        <v>0</v>
      </c>
      <c r="AX84" s="107">
        <f t="shared" si="49"/>
        <v>0</v>
      </c>
      <c r="AY84" s="107">
        <f t="shared" si="49"/>
        <v>0</v>
      </c>
    </row>
    <row r="85" spans="1:51" x14ac:dyDescent="0.25">
      <c r="A85" s="496"/>
      <c r="B85" s="109"/>
      <c r="C85" s="86" t="s">
        <v>622</v>
      </c>
      <c r="D85" s="110">
        <v>1</v>
      </c>
      <c r="E85" s="111"/>
      <c r="F85" s="112">
        <v>3.2</v>
      </c>
      <c r="G85" s="112">
        <v>120</v>
      </c>
      <c r="H85" s="112">
        <v>1</v>
      </c>
      <c r="I85" s="129">
        <f t="shared" si="47"/>
        <v>384</v>
      </c>
      <c r="J85" s="114">
        <f t="shared" si="45"/>
        <v>0.38400000000000001</v>
      </c>
      <c r="N85" s="375"/>
      <c r="O85" s="375"/>
      <c r="P85" s="374"/>
      <c r="Q85" s="376"/>
      <c r="R85" s="374"/>
      <c r="S85" s="377"/>
      <c r="T85" s="375"/>
      <c r="U85" s="376"/>
      <c r="V85" s="378"/>
      <c r="W85" s="56"/>
      <c r="X85" s="375"/>
      <c r="Y85" s="376"/>
      <c r="Z85">
        <v>0</v>
      </c>
      <c r="AA85" s="86" t="str">
        <f t="shared" si="46"/>
        <v>Refrigerator Blower Coil</v>
      </c>
      <c r="AB85" s="372">
        <v>0.1372042876987829</v>
      </c>
      <c r="AC85" s="372">
        <v>0.13581884206067818</v>
      </c>
      <c r="AD85" s="372">
        <v>0.13651045415367111</v>
      </c>
      <c r="AE85" s="372">
        <v>0.13555078683834043</v>
      </c>
      <c r="AF85" s="372">
        <v>0.13353444879849058</v>
      </c>
      <c r="AG85" s="372">
        <v>0.13668594887105801</v>
      </c>
      <c r="AH85" s="372">
        <v>0.14143911592129535</v>
      </c>
      <c r="AI85" s="372">
        <v>0.13996962534469526</v>
      </c>
      <c r="AJ85" s="372">
        <v>0.14044390537206353</v>
      </c>
      <c r="AK85" s="372">
        <v>0.14192389913017284</v>
      </c>
      <c r="AL85" s="372">
        <v>0.1418936951759257</v>
      </c>
      <c r="AM85" s="372">
        <v>0.14077770778254955</v>
      </c>
      <c r="AN85" s="372">
        <v>0.13491580228795536</v>
      </c>
      <c r="AO85" s="372">
        <v>0.13794831826721116</v>
      </c>
      <c r="AP85" s="372">
        <v>0.14440409196157025</v>
      </c>
      <c r="AQ85" s="372">
        <v>0.13854787650222775</v>
      </c>
      <c r="AR85" s="372">
        <v>0.13754898301921992</v>
      </c>
      <c r="AS85" s="372">
        <v>0.13850902057657044</v>
      </c>
      <c r="AT85" s="372">
        <v>0.13801030457589511</v>
      </c>
      <c r="AU85" s="372">
        <v>0.13859602745122426</v>
      </c>
      <c r="AV85" s="372">
        <v>0.13853123509775866</v>
      </c>
      <c r="AW85" s="372">
        <v>0.1370479221524192</v>
      </c>
      <c r="AX85" s="372">
        <v>0.13597409688098247</v>
      </c>
      <c r="AY85" s="372">
        <v>0.13482165688734074</v>
      </c>
    </row>
    <row r="86" spans="1:51" ht="15.75" thickBot="1" x14ac:dyDescent="0.3">
      <c r="A86" s="497"/>
      <c r="B86" s="135"/>
      <c r="C86" s="136" t="s">
        <v>308</v>
      </c>
      <c r="D86" s="137">
        <v>1</v>
      </c>
      <c r="E86" s="138"/>
      <c r="F86" s="139">
        <v>15</v>
      </c>
      <c r="G86" s="139">
        <v>120</v>
      </c>
      <c r="H86" s="139">
        <v>1</v>
      </c>
      <c r="I86" s="140">
        <f t="shared" si="47"/>
        <v>1800</v>
      </c>
      <c r="J86" s="141">
        <f t="shared" si="45"/>
        <v>1.8</v>
      </c>
      <c r="N86" s="375"/>
      <c r="O86" s="375"/>
      <c r="P86" s="374"/>
      <c r="Q86" s="376"/>
      <c r="R86" s="374"/>
      <c r="S86" s="377"/>
      <c r="T86" s="375"/>
      <c r="U86" s="376"/>
      <c r="V86" s="378"/>
      <c r="W86" s="56"/>
      <c r="X86" s="375"/>
      <c r="Y86" s="376"/>
      <c r="Z86">
        <v>1</v>
      </c>
      <c r="AA86" s="86" t="str">
        <f t="shared" si="46"/>
        <v>Flip-Flop Controller</v>
      </c>
      <c r="AB86" s="148">
        <v>1</v>
      </c>
      <c r="AC86" s="148">
        <v>1</v>
      </c>
      <c r="AD86" s="148">
        <v>1</v>
      </c>
      <c r="AE86" s="148">
        <v>1</v>
      </c>
      <c r="AF86" s="148">
        <v>1</v>
      </c>
      <c r="AG86" s="148">
        <v>1</v>
      </c>
      <c r="AH86" s="148">
        <v>1</v>
      </c>
      <c r="AI86" s="148">
        <v>1</v>
      </c>
      <c r="AJ86" s="148">
        <v>1</v>
      </c>
      <c r="AK86" s="148">
        <v>1</v>
      </c>
      <c r="AL86" s="148">
        <v>1</v>
      </c>
      <c r="AM86" s="148">
        <v>1</v>
      </c>
      <c r="AN86" s="148">
        <v>1</v>
      </c>
      <c r="AO86" s="148">
        <v>1</v>
      </c>
      <c r="AP86" s="148">
        <v>1</v>
      </c>
      <c r="AQ86" s="148">
        <v>1</v>
      </c>
      <c r="AR86" s="148">
        <v>1</v>
      </c>
      <c r="AS86" s="148">
        <v>1</v>
      </c>
      <c r="AT86" s="148">
        <v>1</v>
      </c>
      <c r="AU86" s="148">
        <v>1</v>
      </c>
      <c r="AV86" s="148">
        <v>1</v>
      </c>
      <c r="AW86" s="148">
        <v>1</v>
      </c>
      <c r="AX86" s="148">
        <v>1</v>
      </c>
      <c r="AY86" s="148">
        <v>1</v>
      </c>
    </row>
    <row r="87" spans="1:51" ht="15.75" thickBot="1" x14ac:dyDescent="0.3">
      <c r="A87" s="384"/>
      <c r="B87" s="385"/>
      <c r="C87" s="386" t="s">
        <v>184</v>
      </c>
      <c r="D87" s="385"/>
      <c r="E87" s="385"/>
      <c r="F87" s="385"/>
      <c r="G87" s="385"/>
      <c r="H87" s="385"/>
      <c r="I87" s="385"/>
      <c r="J87" s="387">
        <f>SUM(J80:J86)</f>
        <v>25.004422659757655</v>
      </c>
      <c r="L87" s="186"/>
      <c r="M87" s="186"/>
      <c r="P87" s="187"/>
      <c r="V87" s="238"/>
      <c r="W87" s="218"/>
      <c r="X87" s="56"/>
      <c r="Z87" t="s">
        <v>336</v>
      </c>
      <c r="AA87" s="383" t="str">
        <f t="shared" si="46"/>
        <v>Total</v>
      </c>
      <c r="AB87" s="190">
        <f>ROUND(SUMPRODUCT(AB80:AB86,$J$80:$J$86)/$J$87,2)</f>
        <v>0.24</v>
      </c>
      <c r="AC87" s="190">
        <f t="shared" ref="AC87:AY87" si="50">ROUND(SUMPRODUCT(AC80:AC86,$J$80:$J$86)/$J$87,2)</f>
        <v>0.24</v>
      </c>
      <c r="AD87" s="190">
        <f t="shared" si="50"/>
        <v>0.25</v>
      </c>
      <c r="AE87" s="190">
        <f t="shared" si="50"/>
        <v>0.23</v>
      </c>
      <c r="AF87" s="190">
        <f t="shared" si="50"/>
        <v>0.23</v>
      </c>
      <c r="AG87" s="190">
        <f t="shared" si="50"/>
        <v>0.24</v>
      </c>
      <c r="AH87" s="190">
        <f t="shared" si="50"/>
        <v>0.27</v>
      </c>
      <c r="AI87" s="190">
        <f t="shared" si="50"/>
        <v>0.28999999999999998</v>
      </c>
      <c r="AJ87" s="190">
        <f t="shared" si="50"/>
        <v>0.27</v>
      </c>
      <c r="AK87" s="190">
        <f t="shared" si="50"/>
        <v>0.27</v>
      </c>
      <c r="AL87" s="190">
        <f t="shared" si="50"/>
        <v>0.28000000000000003</v>
      </c>
      <c r="AM87" s="190">
        <f t="shared" si="50"/>
        <v>0.28000000000000003</v>
      </c>
      <c r="AN87" s="190">
        <f t="shared" si="50"/>
        <v>0.28999999999999998</v>
      </c>
      <c r="AO87" s="190">
        <f t="shared" si="50"/>
        <v>0.28999999999999998</v>
      </c>
      <c r="AP87" s="190">
        <f t="shared" si="50"/>
        <v>0.28000000000000003</v>
      </c>
      <c r="AQ87" s="190">
        <f t="shared" si="50"/>
        <v>0.24</v>
      </c>
      <c r="AR87" s="190">
        <f t="shared" si="50"/>
        <v>0.24</v>
      </c>
      <c r="AS87" s="190">
        <f t="shared" si="50"/>
        <v>0.25</v>
      </c>
      <c r="AT87" s="190">
        <f t="shared" si="50"/>
        <v>0.25</v>
      </c>
      <c r="AU87" s="190">
        <f t="shared" si="50"/>
        <v>0.25</v>
      </c>
      <c r="AV87" s="190">
        <f t="shared" si="50"/>
        <v>0.24</v>
      </c>
      <c r="AW87" s="190">
        <f t="shared" si="50"/>
        <v>0.24</v>
      </c>
      <c r="AX87" s="190">
        <f t="shared" si="50"/>
        <v>0.24</v>
      </c>
      <c r="AY87" s="190">
        <f t="shared" si="50"/>
        <v>0.24</v>
      </c>
    </row>
    <row r="88" spans="1:51" x14ac:dyDescent="0.25">
      <c r="A88" s="237"/>
      <c r="L88" s="186"/>
      <c r="M88" s="186"/>
      <c r="P88" s="187"/>
      <c r="V88" s="238"/>
      <c r="W88" s="218"/>
      <c r="X88" s="56"/>
      <c r="Z88" t="s">
        <v>337</v>
      </c>
      <c r="AB88" s="190">
        <f>ROUND((SUMPRODUCT(AB80:AB86,$J$80:$J$86,$Z$80:$Z$86)+SUMPRODUCT($J$91:$J$99,$Z$91:$Z$99,AB91:AB99))/($J$87),2)</f>
        <v>0.24</v>
      </c>
      <c r="AC88" s="190">
        <f t="shared" ref="AC88:AY88" si="51">ROUND((SUMPRODUCT(AC80:AC86,$J$80:$J$86,$Z$80:$Z$86)+SUMPRODUCT($J$91:$J$99,$Z$91:$Z$99,AC91:AC99))/($J$87),2)</f>
        <v>0.24</v>
      </c>
      <c r="AD88" s="190">
        <f t="shared" si="51"/>
        <v>0.25</v>
      </c>
      <c r="AE88" s="190">
        <f t="shared" si="51"/>
        <v>0.24</v>
      </c>
      <c r="AF88" s="190">
        <f t="shared" si="51"/>
        <v>0.23</v>
      </c>
      <c r="AG88" s="190">
        <f t="shared" si="51"/>
        <v>0.24</v>
      </c>
      <c r="AH88" s="190">
        <f t="shared" si="51"/>
        <v>0.24</v>
      </c>
      <c r="AI88" s="190">
        <f t="shared" si="51"/>
        <v>0.25</v>
      </c>
      <c r="AJ88" s="190">
        <f t="shared" si="51"/>
        <v>0.23</v>
      </c>
      <c r="AK88" s="190">
        <f t="shared" si="51"/>
        <v>0.23</v>
      </c>
      <c r="AL88" s="190">
        <f t="shared" si="51"/>
        <v>0.23</v>
      </c>
      <c r="AM88" s="190">
        <f t="shared" si="51"/>
        <v>0.24</v>
      </c>
      <c r="AN88" s="190">
        <f t="shared" si="51"/>
        <v>0.24</v>
      </c>
      <c r="AO88" s="190">
        <f t="shared" si="51"/>
        <v>0.25</v>
      </c>
      <c r="AP88" s="190">
        <f t="shared" si="51"/>
        <v>0.24</v>
      </c>
      <c r="AQ88" s="190">
        <f t="shared" si="51"/>
        <v>0.23</v>
      </c>
      <c r="AR88" s="190">
        <f t="shared" si="51"/>
        <v>0.24</v>
      </c>
      <c r="AS88" s="190">
        <f t="shared" si="51"/>
        <v>0.24</v>
      </c>
      <c r="AT88" s="190">
        <f t="shared" si="51"/>
        <v>0.24</v>
      </c>
      <c r="AU88" s="190">
        <f t="shared" si="51"/>
        <v>0.24</v>
      </c>
      <c r="AV88" s="190">
        <f t="shared" si="51"/>
        <v>0.23</v>
      </c>
      <c r="AW88" s="190">
        <f t="shared" si="51"/>
        <v>0.23</v>
      </c>
      <c r="AX88" s="190">
        <f t="shared" si="51"/>
        <v>0.23</v>
      </c>
      <c r="AY88" s="190">
        <f t="shared" si="51"/>
        <v>0.23</v>
      </c>
    </row>
    <row r="89" spans="1:51" x14ac:dyDescent="0.25">
      <c r="L89" s="186"/>
      <c r="M89" s="186"/>
    </row>
    <row r="90" spans="1:51" x14ac:dyDescent="0.25">
      <c r="L90" s="186"/>
      <c r="M90" s="186"/>
      <c r="Y90" t="s">
        <v>609</v>
      </c>
    </row>
    <row r="91" spans="1:51" ht="15.75" hidden="1" thickBot="1" x14ac:dyDescent="0.3">
      <c r="C91" t="s">
        <v>610</v>
      </c>
      <c r="D91">
        <f>D84</f>
        <v>1</v>
      </c>
      <c r="J91">
        <f>J84</f>
        <v>1.2</v>
      </c>
      <c r="L91" s="186"/>
      <c r="M91" s="186"/>
      <c r="Y91">
        <f>1*120</f>
        <v>120</v>
      </c>
      <c r="Z91">
        <v>0</v>
      </c>
      <c r="AA91" t="s">
        <v>610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0.5</v>
      </c>
      <c r="AI91">
        <v>0.5</v>
      </c>
      <c r="AJ91">
        <v>0.5</v>
      </c>
      <c r="AK91">
        <v>0.5</v>
      </c>
      <c r="AL91">
        <v>0.5</v>
      </c>
      <c r="AM91">
        <v>0.5</v>
      </c>
      <c r="AN91">
        <v>0.5</v>
      </c>
      <c r="AO91">
        <v>0.5</v>
      </c>
      <c r="AP91">
        <v>0.5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</row>
    <row r="92" spans="1:51" hidden="1" x14ac:dyDescent="0.25">
      <c r="C92" t="s">
        <v>611</v>
      </c>
      <c r="D92">
        <f>D91</f>
        <v>1</v>
      </c>
      <c r="J92">
        <f>J91</f>
        <v>1.2</v>
      </c>
      <c r="L92" s="186"/>
      <c r="M92" s="186"/>
      <c r="U92" s="95" t="s">
        <v>352</v>
      </c>
      <c r="V92">
        <v>1</v>
      </c>
      <c r="Y92">
        <f>1*120</f>
        <v>120</v>
      </c>
      <c r="Z92">
        <v>1</v>
      </c>
      <c r="AA92" t="s">
        <v>611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</row>
    <row r="93" spans="1:51" hidden="1" x14ac:dyDescent="0.25">
      <c r="L93" s="186"/>
      <c r="M93" s="186"/>
      <c r="U93" s="86" t="s">
        <v>354</v>
      </c>
      <c r="V93">
        <v>1</v>
      </c>
      <c r="Y93">
        <f>8.7*120-Y91</f>
        <v>924</v>
      </c>
      <c r="Z93">
        <v>0</v>
      </c>
      <c r="AA93" t="s">
        <v>612</v>
      </c>
      <c r="AB93">
        <v>0.02</v>
      </c>
      <c r="AC93">
        <v>0</v>
      </c>
      <c r="AD93">
        <v>0</v>
      </c>
      <c r="AE93">
        <v>1.4E-2</v>
      </c>
      <c r="AF93">
        <v>1.4E-2</v>
      </c>
      <c r="AG93">
        <v>7.0000000000000001E-3</v>
      </c>
      <c r="AH93">
        <v>1.4E-2</v>
      </c>
      <c r="AI93">
        <v>0.02</v>
      </c>
      <c r="AJ93">
        <v>1.4E-2</v>
      </c>
      <c r="AK93">
        <v>7.0000000000000001E-3</v>
      </c>
      <c r="AL93">
        <v>7.0000000000000001E-3</v>
      </c>
      <c r="AM93">
        <v>7.0000000000000001E-3</v>
      </c>
      <c r="AN93">
        <v>0.14000000000000001</v>
      </c>
      <c r="AO93">
        <v>0</v>
      </c>
      <c r="AP93">
        <v>1.4E-2</v>
      </c>
      <c r="AQ93">
        <v>1.4E-2</v>
      </c>
      <c r="AR93">
        <v>1.4E-2</v>
      </c>
      <c r="AS93">
        <v>7.0000000000000001E-3</v>
      </c>
      <c r="AT93">
        <v>2.7E-2</v>
      </c>
      <c r="AU93">
        <v>0</v>
      </c>
      <c r="AV93">
        <v>7.0000000000000001E-3</v>
      </c>
      <c r="AW93">
        <v>2.7E-2</v>
      </c>
      <c r="AX93">
        <v>7.0000000000000001E-3</v>
      </c>
      <c r="AY93">
        <v>7.0000000000000001E-3</v>
      </c>
    </row>
    <row r="94" spans="1:51" hidden="1" x14ac:dyDescent="0.25">
      <c r="L94" s="186"/>
      <c r="M94" s="186"/>
      <c r="U94" s="86" t="s">
        <v>368</v>
      </c>
      <c r="V94">
        <v>1</v>
      </c>
      <c r="Y94">
        <f>8.7*120-Y92</f>
        <v>924</v>
      </c>
      <c r="Z94">
        <v>0</v>
      </c>
      <c r="AA94" t="s">
        <v>613</v>
      </c>
      <c r="AB94">
        <v>0.02</v>
      </c>
      <c r="AC94">
        <v>0</v>
      </c>
      <c r="AD94">
        <v>0</v>
      </c>
      <c r="AE94">
        <v>1.4E-2</v>
      </c>
      <c r="AF94">
        <v>1.4E-2</v>
      </c>
      <c r="AG94">
        <v>7.0000000000000001E-3</v>
      </c>
      <c r="AH94">
        <v>1.4E-2</v>
      </c>
      <c r="AI94">
        <v>0.02</v>
      </c>
      <c r="AJ94">
        <v>1.4E-2</v>
      </c>
      <c r="AK94">
        <v>7.0000000000000001E-3</v>
      </c>
      <c r="AL94">
        <v>7.0000000000000001E-3</v>
      </c>
      <c r="AM94">
        <v>7.0000000000000001E-3</v>
      </c>
      <c r="AN94">
        <v>0.14000000000000001</v>
      </c>
      <c r="AO94">
        <v>0</v>
      </c>
      <c r="AP94">
        <v>1.4E-2</v>
      </c>
      <c r="AQ94">
        <v>1.4E-2</v>
      </c>
      <c r="AR94">
        <v>1.4E-2</v>
      </c>
      <c r="AS94">
        <v>7.0000000000000001E-3</v>
      </c>
      <c r="AT94">
        <v>2.7E-2</v>
      </c>
      <c r="AU94">
        <v>0</v>
      </c>
      <c r="AV94">
        <v>7.0000000000000001E-3</v>
      </c>
      <c r="AW94">
        <v>2.7E-2</v>
      </c>
      <c r="AX94">
        <v>7.0000000000000001E-3</v>
      </c>
      <c r="AY94">
        <v>7.0000000000000001E-3</v>
      </c>
    </row>
    <row r="95" spans="1:51" ht="15.75" hidden="1" thickBot="1" x14ac:dyDescent="0.3">
      <c r="C95" t="s">
        <v>614</v>
      </c>
      <c r="D95">
        <f>D81</f>
        <v>1</v>
      </c>
      <c r="J95">
        <f>J81</f>
        <v>1.2</v>
      </c>
      <c r="L95" s="186"/>
      <c r="M95" s="186"/>
      <c r="U95" s="136" t="s">
        <v>369</v>
      </c>
      <c r="V95">
        <v>1</v>
      </c>
      <c r="Z95">
        <v>0</v>
      </c>
      <c r="AA95" t="s">
        <v>614</v>
      </c>
      <c r="AB95" s="186">
        <f>(AB91*$Y$91+AB93*$Y$93)/($Y$91+$Y$93)</f>
        <v>1.7701149425287357E-2</v>
      </c>
      <c r="AC95" s="186">
        <f t="shared" ref="AC95:AY95" si="52">(AC91*$Y$91+AC93*$Y$93)/($Y$91+$Y$93)</f>
        <v>0</v>
      </c>
      <c r="AD95" s="186">
        <f t="shared" si="52"/>
        <v>0</v>
      </c>
      <c r="AE95" s="186">
        <f t="shared" si="52"/>
        <v>1.2390804597701149E-2</v>
      </c>
      <c r="AF95" s="186">
        <f t="shared" si="52"/>
        <v>1.2390804597701149E-2</v>
      </c>
      <c r="AG95" s="186">
        <f t="shared" si="52"/>
        <v>6.1954022988505745E-3</v>
      </c>
      <c r="AH95" s="186">
        <f t="shared" si="52"/>
        <v>6.9862068965517249E-2</v>
      </c>
      <c r="AI95" s="186">
        <f t="shared" si="52"/>
        <v>7.5172413793103451E-2</v>
      </c>
      <c r="AJ95" s="186">
        <f t="shared" si="52"/>
        <v>6.9862068965517249E-2</v>
      </c>
      <c r="AK95" s="186">
        <f t="shared" si="52"/>
        <v>6.3666666666666677E-2</v>
      </c>
      <c r="AL95" s="186">
        <f t="shared" si="52"/>
        <v>6.3666666666666677E-2</v>
      </c>
      <c r="AM95" s="186">
        <f t="shared" si="52"/>
        <v>6.3666666666666677E-2</v>
      </c>
      <c r="AN95" s="186">
        <f t="shared" si="52"/>
        <v>0.1813793103448276</v>
      </c>
      <c r="AO95" s="186">
        <f t="shared" si="52"/>
        <v>5.7471264367816091E-2</v>
      </c>
      <c r="AP95" s="186">
        <f t="shared" si="52"/>
        <v>6.9862068965517249E-2</v>
      </c>
      <c r="AQ95" s="186">
        <f t="shared" si="52"/>
        <v>1.2390804597701149E-2</v>
      </c>
      <c r="AR95" s="186">
        <f t="shared" si="52"/>
        <v>1.2390804597701149E-2</v>
      </c>
      <c r="AS95" s="186">
        <f t="shared" si="52"/>
        <v>6.1954022988505745E-3</v>
      </c>
      <c r="AT95" s="186">
        <f t="shared" si="52"/>
        <v>2.3896551724137932E-2</v>
      </c>
      <c r="AU95" s="186">
        <f t="shared" si="52"/>
        <v>0</v>
      </c>
      <c r="AV95" s="186">
        <f t="shared" si="52"/>
        <v>6.1954022988505745E-3</v>
      </c>
      <c r="AW95" s="186">
        <f t="shared" si="52"/>
        <v>2.3896551724137932E-2</v>
      </c>
      <c r="AX95" s="186">
        <f t="shared" si="52"/>
        <v>6.1954022988505745E-3</v>
      </c>
      <c r="AY95" s="186">
        <f t="shared" si="52"/>
        <v>6.1954022988505745E-3</v>
      </c>
    </row>
    <row r="96" spans="1:51" hidden="1" x14ac:dyDescent="0.25">
      <c r="C96" t="s">
        <v>615</v>
      </c>
      <c r="D96">
        <f>D95</f>
        <v>1</v>
      </c>
      <c r="J96">
        <f>J95</f>
        <v>1.2</v>
      </c>
      <c r="L96" s="186"/>
      <c r="M96" s="186"/>
      <c r="U96" s="218"/>
      <c r="Z96">
        <v>1</v>
      </c>
      <c r="AA96" t="s">
        <v>615</v>
      </c>
      <c r="AB96" s="186">
        <f>(AB92*$Y$92+AB94*$Y$94)/($Y$92+$Y$94)</f>
        <v>1.7701149425287357E-2</v>
      </c>
      <c r="AC96" s="186">
        <f t="shared" ref="AC96:AY96" si="53">(AC92*$Y$92+AC94*$Y$94)/($Y$92+$Y$94)</f>
        <v>0</v>
      </c>
      <c r="AD96" s="186">
        <f t="shared" si="53"/>
        <v>0</v>
      </c>
      <c r="AE96" s="186">
        <f t="shared" si="53"/>
        <v>1.2390804597701149E-2</v>
      </c>
      <c r="AF96" s="186">
        <f t="shared" si="53"/>
        <v>1.2390804597701149E-2</v>
      </c>
      <c r="AG96" s="186">
        <f t="shared" si="53"/>
        <v>6.1954022988505745E-3</v>
      </c>
      <c r="AH96" s="186">
        <f t="shared" si="53"/>
        <v>1.2390804597701149E-2</v>
      </c>
      <c r="AI96" s="186">
        <f t="shared" si="53"/>
        <v>1.7701149425287357E-2</v>
      </c>
      <c r="AJ96" s="186">
        <f t="shared" si="53"/>
        <v>1.2390804597701149E-2</v>
      </c>
      <c r="AK96" s="186">
        <f t="shared" si="53"/>
        <v>6.1954022988505745E-3</v>
      </c>
      <c r="AL96" s="186">
        <f t="shared" si="53"/>
        <v>6.1954022988505745E-3</v>
      </c>
      <c r="AM96" s="186">
        <f t="shared" si="53"/>
        <v>6.1954022988505745E-3</v>
      </c>
      <c r="AN96" s="186">
        <f t="shared" si="53"/>
        <v>0.12390804597701151</v>
      </c>
      <c r="AO96" s="186">
        <f t="shared" si="53"/>
        <v>0</v>
      </c>
      <c r="AP96" s="186">
        <f t="shared" si="53"/>
        <v>1.2390804597701149E-2</v>
      </c>
      <c r="AQ96" s="186">
        <f t="shared" si="53"/>
        <v>1.2390804597701149E-2</v>
      </c>
      <c r="AR96" s="186">
        <f t="shared" si="53"/>
        <v>1.2390804597701149E-2</v>
      </c>
      <c r="AS96" s="186">
        <f t="shared" si="53"/>
        <v>6.1954022988505745E-3</v>
      </c>
      <c r="AT96" s="186">
        <f t="shared" si="53"/>
        <v>2.3896551724137932E-2</v>
      </c>
      <c r="AU96" s="186">
        <f t="shared" si="53"/>
        <v>0</v>
      </c>
      <c r="AV96" s="186">
        <f t="shared" si="53"/>
        <v>6.1954022988505745E-3</v>
      </c>
      <c r="AW96" s="186">
        <f t="shared" si="53"/>
        <v>2.3896551724137932E-2</v>
      </c>
      <c r="AX96" s="186">
        <f t="shared" si="53"/>
        <v>6.1954022988505745E-3</v>
      </c>
      <c r="AY96" s="186">
        <f t="shared" si="53"/>
        <v>6.1954022988505745E-3</v>
      </c>
    </row>
    <row r="97" spans="3:51" hidden="1" x14ac:dyDescent="0.25">
      <c r="C97" t="s">
        <v>616</v>
      </c>
      <c r="D97">
        <f>D82</f>
        <v>1</v>
      </c>
      <c r="J97">
        <f>J82</f>
        <v>3.9935999999999998</v>
      </c>
      <c r="L97" s="186"/>
      <c r="M97" s="186"/>
      <c r="U97" s="218" t="s">
        <v>370</v>
      </c>
      <c r="V97" t="s">
        <v>340</v>
      </c>
      <c r="Z97">
        <v>1</v>
      </c>
      <c r="AA97" t="s">
        <v>616</v>
      </c>
      <c r="AB97" s="186">
        <v>0.33774399399399402</v>
      </c>
      <c r="AC97" s="186">
        <v>0.39014101514101512</v>
      </c>
      <c r="AD97" s="186">
        <v>0.47483644358644361</v>
      </c>
      <c r="AE97" s="186">
        <v>0.39238867363867364</v>
      </c>
      <c r="AF97" s="186">
        <v>0.31104312354312352</v>
      </c>
      <c r="AG97" s="186">
        <v>0.32059747684747686</v>
      </c>
      <c r="AH97" s="186">
        <v>0.38794060669060665</v>
      </c>
      <c r="AI97" s="186">
        <v>0.45702739452739455</v>
      </c>
      <c r="AJ97" s="186">
        <v>0.34313181188181185</v>
      </c>
      <c r="AK97" s="186">
        <v>0.33982693357693367</v>
      </c>
      <c r="AL97" s="186">
        <v>0.34349865599865603</v>
      </c>
      <c r="AM97" s="186">
        <v>0.37872487872487876</v>
      </c>
      <c r="AN97" s="186">
        <v>0.36127911127911122</v>
      </c>
      <c r="AO97" s="186">
        <v>0.45051016926016924</v>
      </c>
      <c r="AP97" s="186">
        <v>0.36253189378189377</v>
      </c>
      <c r="AQ97" s="186">
        <v>0.34294018669018672</v>
      </c>
      <c r="AR97" s="186">
        <v>0.37565428190428191</v>
      </c>
      <c r="AS97" s="186">
        <v>0.34237712362712364</v>
      </c>
      <c r="AT97" s="186">
        <v>0.39534902034902036</v>
      </c>
      <c r="AU97" s="186">
        <v>0.44004887754887761</v>
      </c>
      <c r="AV97" s="186">
        <v>0.33955524580524588</v>
      </c>
      <c r="AW97" s="186">
        <v>0.34773278523278528</v>
      </c>
      <c r="AX97" s="186">
        <v>0.3531521031521031</v>
      </c>
      <c r="AY97" s="186">
        <v>0.33906174531174543</v>
      </c>
    </row>
    <row r="98" spans="3:51" hidden="1" x14ac:dyDescent="0.25">
      <c r="C98" t="s">
        <v>617</v>
      </c>
      <c r="D98">
        <f>D85</f>
        <v>1</v>
      </c>
      <c r="J98">
        <f>J85</f>
        <v>0.38400000000000001</v>
      </c>
      <c r="L98" s="186"/>
      <c r="M98" s="186"/>
      <c r="U98" s="218" t="s">
        <v>338</v>
      </c>
      <c r="V98" s="55">
        <f>$V$76</f>
        <v>0</v>
      </c>
      <c r="Z98">
        <v>1</v>
      </c>
      <c r="AA98" t="s">
        <v>617</v>
      </c>
      <c r="AB98" s="186">
        <v>0.13828502415458938</v>
      </c>
      <c r="AC98" s="186">
        <v>0.13935551163812029</v>
      </c>
      <c r="AD98" s="186">
        <v>0.13423834619486794</v>
      </c>
      <c r="AE98" s="186">
        <v>0.13652832674571805</v>
      </c>
      <c r="AF98" s="186">
        <v>0.13658322353974528</v>
      </c>
      <c r="AG98" s="186">
        <v>0.13370114185331575</v>
      </c>
      <c r="AH98" s="186">
        <v>0.13842226613965744</v>
      </c>
      <c r="AI98" s="186">
        <v>0.13710474308300397</v>
      </c>
      <c r="AJ98" s="186">
        <v>0.13647342995169082</v>
      </c>
      <c r="AK98" s="186">
        <v>0.13578722002635044</v>
      </c>
      <c r="AL98" s="186">
        <v>0.13869675010979357</v>
      </c>
      <c r="AM98" s="186">
        <v>0.13586346557361048</v>
      </c>
      <c r="AN98" s="186">
        <v>0.13581466842336407</v>
      </c>
      <c r="AO98" s="186">
        <v>0.13869675010979357</v>
      </c>
      <c r="AP98" s="186">
        <v>0.1376262626262626</v>
      </c>
      <c r="AQ98" s="186">
        <v>0.13630263992582831</v>
      </c>
      <c r="AR98" s="186">
        <v>0.13674791392182697</v>
      </c>
      <c r="AS98" s="186">
        <v>0.13844971453667107</v>
      </c>
      <c r="AT98" s="186">
        <v>0.13691260430390861</v>
      </c>
      <c r="AU98" s="186">
        <v>0.13674791392182695</v>
      </c>
      <c r="AV98" s="186">
        <v>0.13855950812472551</v>
      </c>
      <c r="AW98" s="186">
        <v>0.13910847606499782</v>
      </c>
      <c r="AX98" s="186">
        <v>0.13567742643829603</v>
      </c>
      <c r="AY98" s="186">
        <v>0.13702239789196313</v>
      </c>
    </row>
    <row r="99" spans="3:51" hidden="1" x14ac:dyDescent="0.25">
      <c r="C99" t="s">
        <v>620</v>
      </c>
      <c r="D99">
        <f>D80</f>
        <v>1</v>
      </c>
      <c r="J99">
        <f>J80</f>
        <v>14.626822659757655</v>
      </c>
      <c r="L99" s="186"/>
      <c r="M99" s="186"/>
      <c r="U99" s="218" t="s">
        <v>339</v>
      </c>
      <c r="V99" s="55">
        <f>$V$70</f>
        <v>0</v>
      </c>
      <c r="Z99">
        <v>1</v>
      </c>
      <c r="AA99" t="s">
        <v>618</v>
      </c>
      <c r="AB99" s="186">
        <v>6.4051734959223949E-2</v>
      </c>
      <c r="AC99" s="186">
        <v>5.6720650119418098E-2</v>
      </c>
      <c r="AD99" s="186">
        <v>5.0818845444698627E-2</v>
      </c>
      <c r="AE99" s="186">
        <v>5.0599978984375127E-2</v>
      </c>
      <c r="AF99" s="186">
        <v>5.4574294244690701E-2</v>
      </c>
      <c r="AG99" s="186">
        <v>6.7760937389298739E-2</v>
      </c>
      <c r="AH99" s="186">
        <v>5.4909258044650876E-2</v>
      </c>
      <c r="AI99" s="186">
        <v>4.8349925688338527E-2</v>
      </c>
      <c r="AJ99" s="186">
        <v>4.6394172906488423E-2</v>
      </c>
      <c r="AK99" s="186">
        <v>4.9680201728824411E-2</v>
      </c>
      <c r="AL99" s="186">
        <v>5.4930586382268873E-2</v>
      </c>
      <c r="AM99" s="186">
        <v>6.2389195026024288E-2</v>
      </c>
      <c r="AN99" s="186">
        <v>5.9945173381349227E-2</v>
      </c>
      <c r="AO99" s="186">
        <v>5.5059322687603565E-2</v>
      </c>
      <c r="AP99" s="186">
        <v>5.2160120320312309E-2</v>
      </c>
      <c r="AQ99" s="186">
        <v>5.1612025868881174E-2</v>
      </c>
      <c r="AR99" s="186">
        <v>5.4626851465190827E-2</v>
      </c>
      <c r="AS99" s="186">
        <v>6.3577483568600601E-2</v>
      </c>
      <c r="AT99" s="186">
        <v>5.7006954499059272E-2</v>
      </c>
      <c r="AU99" s="186">
        <v>4.8557560906368431E-2</v>
      </c>
      <c r="AV99" s="186">
        <v>4.5559580181437763E-2</v>
      </c>
      <c r="AW99" s="186">
        <v>4.8137605141845591E-2</v>
      </c>
      <c r="AX99" s="186">
        <v>5.3739247329635961E-2</v>
      </c>
      <c r="AY99" s="186">
        <v>5.6476461902347244E-2</v>
      </c>
    </row>
    <row r="100" spans="3:51" x14ac:dyDescent="0.25">
      <c r="L100" s="186"/>
      <c r="M100" s="186"/>
      <c r="U100" s="218" t="s">
        <v>371</v>
      </c>
      <c r="V100" s="253">
        <f>V99-V98</f>
        <v>0</v>
      </c>
    </row>
    <row r="101" spans="3:51" x14ac:dyDescent="0.25">
      <c r="L101" s="186"/>
      <c r="M101" s="186"/>
      <c r="U101" s="218"/>
    </row>
    <row r="102" spans="3:51" x14ac:dyDescent="0.25">
      <c r="L102" s="186"/>
      <c r="M102" s="186"/>
    </row>
    <row r="103" spans="3:51" x14ac:dyDescent="0.25">
      <c r="L103" s="186"/>
      <c r="M103" s="186"/>
      <c r="U103" s="218" t="s">
        <v>372</v>
      </c>
      <c r="V103" t="s">
        <v>340</v>
      </c>
    </row>
    <row r="104" spans="3:51" x14ac:dyDescent="0.25">
      <c r="L104" s="186"/>
      <c r="M104" s="186"/>
      <c r="U104" s="218" t="s">
        <v>338</v>
      </c>
      <c r="V104" s="55">
        <f>V98*3.14</f>
        <v>0</v>
      </c>
    </row>
    <row r="105" spans="3:51" x14ac:dyDescent="0.25">
      <c r="L105" s="186"/>
      <c r="M105" s="186"/>
      <c r="U105" s="218" t="s">
        <v>339</v>
      </c>
      <c r="V105" s="55">
        <f>V99*1.05</f>
        <v>0</v>
      </c>
    </row>
    <row r="106" spans="3:51" x14ac:dyDescent="0.25">
      <c r="L106" s="186"/>
      <c r="M106" s="186"/>
      <c r="U106" s="218" t="s">
        <v>371</v>
      </c>
      <c r="V106" s="254" t="e">
        <f>(V104-V105)/V104</f>
        <v>#DIV/0!</v>
      </c>
    </row>
    <row r="107" spans="3:51" x14ac:dyDescent="0.25">
      <c r="L107" s="186"/>
      <c r="M107" s="186"/>
      <c r="U107" s="218"/>
    </row>
    <row r="108" spans="3:51" x14ac:dyDescent="0.25">
      <c r="L108" s="186"/>
      <c r="M108" s="186"/>
      <c r="V108" s="218" t="e">
        <f>#REF!*1.05</f>
        <v>#REF!</v>
      </c>
    </row>
    <row r="109" spans="3:51" x14ac:dyDescent="0.25">
      <c r="L109" s="186"/>
      <c r="M109" s="186"/>
    </row>
    <row r="125" spans="14:15" ht="15.75" thickBot="1" x14ac:dyDescent="0.3"/>
    <row r="126" spans="14:15" ht="15.75" thickBot="1" x14ac:dyDescent="0.3">
      <c r="N126" s="486" t="s">
        <v>373</v>
      </c>
      <c r="O126" s="487"/>
    </row>
    <row r="127" spans="14:15" ht="15.75" thickBot="1" x14ac:dyDescent="0.3">
      <c r="N127" s="255" t="s">
        <v>374</v>
      </c>
      <c r="O127" s="256">
        <v>3.4119999999999999</v>
      </c>
    </row>
    <row r="128" spans="14:15" ht="15.75" thickBot="1" x14ac:dyDescent="0.3">
      <c r="N128" s="486" t="s">
        <v>375</v>
      </c>
      <c r="O128" s="487"/>
    </row>
    <row r="129" spans="14:15" x14ac:dyDescent="0.25">
      <c r="N129" s="255" t="s">
        <v>338</v>
      </c>
      <c r="O129" s="256">
        <v>2.5499999999999998</v>
      </c>
    </row>
    <row r="130" spans="14:15" ht="15.75" thickBot="1" x14ac:dyDescent="0.3">
      <c r="N130" s="257" t="s">
        <v>339</v>
      </c>
      <c r="O130" s="258">
        <v>1.05</v>
      </c>
    </row>
    <row r="131" spans="14:15" x14ac:dyDescent="0.25">
      <c r="N131" s="259" t="s">
        <v>376</v>
      </c>
      <c r="O131" s="260">
        <v>283.60000000000002</v>
      </c>
    </row>
    <row r="132" spans="14:15" x14ac:dyDescent="0.25">
      <c r="N132" s="257" t="s">
        <v>377</v>
      </c>
      <c r="O132" s="258">
        <f>207+44</f>
        <v>251</v>
      </c>
    </row>
    <row r="133" spans="14:15" x14ac:dyDescent="0.25">
      <c r="N133" s="257" t="s">
        <v>378</v>
      </c>
      <c r="O133" s="258">
        <v>1</v>
      </c>
    </row>
    <row r="134" spans="14:15" ht="15.75" thickBot="1" x14ac:dyDescent="0.3">
      <c r="N134" s="257" t="s">
        <v>379</v>
      </c>
      <c r="O134" s="258">
        <v>0.3</v>
      </c>
    </row>
    <row r="135" spans="14:15" ht="15.75" thickBot="1" x14ac:dyDescent="0.3">
      <c r="N135" s="486" t="s">
        <v>380</v>
      </c>
      <c r="O135" s="487"/>
    </row>
    <row r="136" spans="14:15" ht="15.75" thickBot="1" x14ac:dyDescent="0.3">
      <c r="N136" s="261" t="s">
        <v>381</v>
      </c>
      <c r="O136" s="262">
        <v>1</v>
      </c>
    </row>
    <row r="137" spans="14:15" x14ac:dyDescent="0.25">
      <c r="N137" s="263" t="s">
        <v>267</v>
      </c>
      <c r="O137" s="256">
        <v>0.1</v>
      </c>
    </row>
    <row r="138" spans="14:15" x14ac:dyDescent="0.25">
      <c r="N138" s="264" t="s">
        <v>279</v>
      </c>
      <c r="O138" s="258">
        <v>0.41</v>
      </c>
    </row>
    <row r="139" spans="14:15" x14ac:dyDescent="0.25">
      <c r="N139" s="264" t="s">
        <v>285</v>
      </c>
      <c r="O139" s="258">
        <v>0.25</v>
      </c>
    </row>
    <row r="140" spans="14:15" x14ac:dyDescent="0.25">
      <c r="N140" s="264" t="s">
        <v>290</v>
      </c>
      <c r="O140" s="258">
        <v>0.18</v>
      </c>
    </row>
    <row r="141" spans="14:15" x14ac:dyDescent="0.25">
      <c r="N141" s="264" t="s">
        <v>315</v>
      </c>
      <c r="O141" s="258">
        <v>0.49</v>
      </c>
    </row>
    <row r="142" spans="14:15" x14ac:dyDescent="0.25">
      <c r="N142" s="265" t="s">
        <v>320</v>
      </c>
      <c r="O142" s="266">
        <v>0.08</v>
      </c>
    </row>
  </sheetData>
  <mergeCells count="11">
    <mergeCell ref="A72:A75"/>
    <mergeCell ref="N126:O126"/>
    <mergeCell ref="N128:O128"/>
    <mergeCell ref="N135:O135"/>
    <mergeCell ref="A3:A32"/>
    <mergeCell ref="A35:A60"/>
    <mergeCell ref="E64:J64"/>
    <mergeCell ref="N64:O64"/>
    <mergeCell ref="A66:A69"/>
    <mergeCell ref="E78:J78"/>
    <mergeCell ref="A80:A86"/>
  </mergeCells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97647-EDA2-4B7E-BBA5-CA6249C63121}">
  <sheetPr codeName="Sheet8">
    <tabColor rgb="FFFFC000"/>
  </sheetPr>
  <dimension ref="A1:I55"/>
  <sheetViews>
    <sheetView topLeftCell="A10" workbookViewId="0">
      <selection activeCell="A10" sqref="A10:I55"/>
    </sheetView>
  </sheetViews>
  <sheetFormatPr defaultRowHeight="15" x14ac:dyDescent="0.25"/>
  <cols>
    <col min="1" max="1" width="25.28515625" customWidth="1"/>
    <col min="3" max="3" width="21.5703125" customWidth="1"/>
    <col min="4" max="4" width="20.85546875" customWidth="1"/>
    <col min="5" max="5" width="15.140625" customWidth="1"/>
    <col min="6" max="6" width="18.7109375" bestFit="1" customWidth="1"/>
    <col min="7" max="7" width="19.140625" bestFit="1" customWidth="1"/>
    <col min="8" max="8" width="16.140625" bestFit="1" customWidth="1"/>
    <col min="9" max="9" width="16.42578125" bestFit="1" customWidth="1"/>
  </cols>
  <sheetData>
    <row r="1" spans="1:5" hidden="1" x14ac:dyDescent="0.25"/>
    <row r="2" spans="1:5" hidden="1" x14ac:dyDescent="0.25"/>
    <row r="3" spans="1:5" hidden="1" x14ac:dyDescent="0.25">
      <c r="A3" t="s">
        <v>382</v>
      </c>
      <c r="B3" t="e">
        <f>'Kitchen Equipment'!AA62&amp;" "&amp;'Kitchen Equipment'!AB62&amp;" "&amp;'Kitchen Equipment'!AC62&amp;" "&amp;'Kitchen Equipment'!AD62&amp;" "&amp;'Kitchen Equipment'!AE62&amp;" "&amp;'Kitchen Equipment'!AF62</f>
        <v>#DIV/0!</v>
      </c>
      <c r="C3" t="e">
        <f>'Kitchen Equipment'!AG62&amp;" "&amp;'Kitchen Equipment'!AH62&amp;" "&amp;'Kitchen Equipment'!AI62&amp;" "&amp;'Kitchen Equipment'!AJ62&amp;" "&amp;'Kitchen Equipment'!AK62&amp;" "&amp;'Kitchen Equipment'!AL62</f>
        <v>#DIV/0!</v>
      </c>
      <c r="D3" t="e">
        <f>'Kitchen Equipment'!AM62&amp;" "&amp;'Kitchen Equipment'!AN62&amp;" "&amp;'Kitchen Equipment'!AO62&amp;" "&amp;'Kitchen Equipment'!AP62&amp;" "&amp;'Kitchen Equipment'!AQ62&amp;" "&amp;'Kitchen Equipment'!AR62</f>
        <v>#DIV/0!</v>
      </c>
      <c r="E3" t="e">
        <f>'Kitchen Equipment'!AS62&amp;" "&amp;'Kitchen Equipment'!AT62&amp;" "&amp;'Kitchen Equipment'!AU62&amp;" "&amp;'Kitchen Equipment'!AV62&amp;" "&amp;'Kitchen Equipment'!AW62&amp;" "&amp;'Kitchen Equipment'!AX62</f>
        <v>#DIV/0!</v>
      </c>
    </row>
    <row r="4" spans="1:5" hidden="1" x14ac:dyDescent="0.25">
      <c r="A4" t="s">
        <v>383</v>
      </c>
      <c r="B4" t="e">
        <f>'Kitchen Equipment'!AA63&amp;" "&amp;'Kitchen Equipment'!AB63&amp;" "&amp;'Kitchen Equipment'!AC63&amp;" "&amp;'Kitchen Equipment'!AD63&amp;" "&amp;'Kitchen Equipment'!AE63&amp;" "&amp;'Kitchen Equipment'!AF63</f>
        <v>#DIV/0!</v>
      </c>
      <c r="C4" t="e">
        <f>'Kitchen Equipment'!AG63&amp;" "&amp;'Kitchen Equipment'!AH63&amp;" "&amp;'Kitchen Equipment'!AI63&amp;" "&amp;'Kitchen Equipment'!AJ63&amp;" "&amp;'Kitchen Equipment'!AK63&amp;" "&amp;'Kitchen Equipment'!AL63</f>
        <v>#DIV/0!</v>
      </c>
      <c r="D4" t="e">
        <f>'Kitchen Equipment'!AM63&amp;" "&amp;'Kitchen Equipment'!AN63&amp;" "&amp;'Kitchen Equipment'!AO63&amp;" "&amp;'Kitchen Equipment'!AP63&amp;" "&amp;'Kitchen Equipment'!AQ63&amp;" "&amp;'Kitchen Equipment'!AR63</f>
        <v>#DIV/0!</v>
      </c>
      <c r="E4" t="e">
        <f>'Kitchen Equipment'!AS63&amp;" "&amp;'Kitchen Equipment'!AT63&amp;" "&amp;'Kitchen Equipment'!AU63&amp;" "&amp;'Kitchen Equipment'!AV63&amp;" "&amp;'Kitchen Equipment'!AW63&amp;" "&amp;'Kitchen Equipment'!AX63</f>
        <v>#DIV/0!</v>
      </c>
    </row>
    <row r="5" spans="1:5" hidden="1" x14ac:dyDescent="0.25"/>
    <row r="6" spans="1:5" hidden="1" x14ac:dyDescent="0.25">
      <c r="A6" t="s">
        <v>384</v>
      </c>
      <c r="B6" t="e">
        <f>'Kitchen Equipment'!AB70&amp;" "&amp;'Kitchen Equipment'!AC70&amp;" "&amp;'Kitchen Equipment'!AD70&amp;" "&amp;'Kitchen Equipment'!AE70&amp;" "&amp;'Kitchen Equipment'!AF70&amp;" "&amp;'Kitchen Equipment'!AG70</f>
        <v>#DIV/0!</v>
      </c>
      <c r="C6" t="e">
        <f>'Kitchen Equipment'!AH70&amp;" "&amp;'Kitchen Equipment'!AI70&amp;" "&amp;'Kitchen Equipment'!AJ70&amp;" "&amp;'Kitchen Equipment'!AK70&amp;" "&amp;'Kitchen Equipment'!AL70&amp;" "&amp;'Kitchen Equipment'!AM70</f>
        <v>#DIV/0!</v>
      </c>
      <c r="D6" t="e">
        <f>'Kitchen Equipment'!AN70&amp;" "&amp;'Kitchen Equipment'!AO70&amp;" "&amp;'Kitchen Equipment'!AP70&amp;" "&amp;'Kitchen Equipment'!AQ70&amp;" "&amp;'Kitchen Equipment'!AR70&amp;" "&amp;'Kitchen Equipment'!AS70</f>
        <v>#DIV/0!</v>
      </c>
      <c r="E6" t="e">
        <f>'Kitchen Equipment'!AT70&amp;" "&amp;'Kitchen Equipment'!AU70&amp;" "&amp;'Kitchen Equipment'!AV70&amp;" "&amp;'Kitchen Equipment'!AW70&amp;" "&amp;'Kitchen Equipment'!AX70&amp;" "&amp;'Kitchen Equipment'!AY70</f>
        <v>#DIV/0!</v>
      </c>
    </row>
    <row r="7" spans="1:5" hidden="1" x14ac:dyDescent="0.25">
      <c r="A7" t="s">
        <v>385</v>
      </c>
      <c r="B7" t="e">
        <f>'Kitchen Equipment'!AB76&amp;" "&amp;'Kitchen Equipment'!AC76&amp;" "&amp;'Kitchen Equipment'!AD76&amp;" "&amp;'Kitchen Equipment'!AE76&amp;" "&amp;'Kitchen Equipment'!AF76&amp;" "&amp;'Kitchen Equipment'!AG76</f>
        <v>#DIV/0!</v>
      </c>
      <c r="C7" t="e">
        <f>'Kitchen Equipment'!AH76&amp;" "&amp;'Kitchen Equipment'!AI76&amp;" "&amp;'Kitchen Equipment'!AJ76&amp;" "&amp;'Kitchen Equipment'!AK76&amp;" "&amp;'Kitchen Equipment'!AL76&amp;" "&amp;'Kitchen Equipment'!AM76</f>
        <v>#DIV/0!</v>
      </c>
      <c r="D7" t="e">
        <f>'Kitchen Equipment'!AN76&amp;" "&amp;'Kitchen Equipment'!AO76&amp;" "&amp;'Kitchen Equipment'!AP76&amp;" "&amp;'Kitchen Equipment'!AQ76&amp;" "&amp;'Kitchen Equipment'!AR76&amp;" "&amp;'Kitchen Equipment'!AS76</f>
        <v>#DIV/0!</v>
      </c>
      <c r="E7" t="e">
        <f>'Kitchen Equipment'!AT76&amp;" "&amp;'Kitchen Equipment'!AU76&amp;" "&amp;'Kitchen Equipment'!AV76&amp;" "&amp;'Kitchen Equipment'!AW76&amp;" "&amp;'Kitchen Equipment'!AX76&amp;" "&amp;'Kitchen Equipment'!AY76</f>
        <v>#DIV/0!</v>
      </c>
    </row>
    <row r="8" spans="1:5" hidden="1" x14ac:dyDescent="0.25"/>
    <row r="9" spans="1:5" hidden="1" x14ac:dyDescent="0.25"/>
    <row r="10" spans="1:5" ht="30" customHeight="1" x14ac:dyDescent="0.25">
      <c r="A10" s="5" t="s">
        <v>619</v>
      </c>
      <c r="B10" s="373">
        <f>'Kitchen Equipment'!J87</f>
        <v>25.004422659757655</v>
      </c>
      <c r="C10" s="6" t="s">
        <v>100</v>
      </c>
    </row>
    <row r="12" spans="1:5" ht="30" x14ac:dyDescent="0.25">
      <c r="A12" s="5" t="s">
        <v>386</v>
      </c>
      <c r="B12" s="267">
        <f>ROUND('Kitchen Equipment'!J2,2)</f>
        <v>0</v>
      </c>
      <c r="C12" s="6" t="s">
        <v>100</v>
      </c>
    </row>
    <row r="13" spans="1:5" x14ac:dyDescent="0.25">
      <c r="A13" s="6" t="s">
        <v>387</v>
      </c>
      <c r="B13" s="3">
        <v>0</v>
      </c>
      <c r="C13" s="6" t="s">
        <v>21</v>
      </c>
      <c r="D13" t="s">
        <v>388</v>
      </c>
    </row>
    <row r="14" spans="1:5" x14ac:dyDescent="0.25">
      <c r="A14" s="6" t="s">
        <v>389</v>
      </c>
      <c r="B14" s="3">
        <v>0</v>
      </c>
      <c r="C14" s="6" t="s">
        <v>21</v>
      </c>
      <c r="D14" t="s">
        <v>388</v>
      </c>
    </row>
    <row r="15" spans="1:5" x14ac:dyDescent="0.25">
      <c r="A15" s="6" t="s">
        <v>390</v>
      </c>
      <c r="B15" s="267">
        <f>B14+B13</f>
        <v>0</v>
      </c>
      <c r="C15" s="6" t="s">
        <v>21</v>
      </c>
    </row>
    <row r="16" spans="1:5" ht="30" x14ac:dyDescent="0.25">
      <c r="A16" s="5" t="s">
        <v>391</v>
      </c>
      <c r="B16" s="268">
        <f>IFERROR(ROUND('Kitchen Equipment'!J2*1000/B15,2),0)</f>
        <v>0</v>
      </c>
      <c r="C16" s="6" t="s">
        <v>392</v>
      </c>
      <c r="D16" t="s">
        <v>393</v>
      </c>
    </row>
    <row r="17" spans="1:9" x14ac:dyDescent="0.25">
      <c r="B17" t="str">
        <f>'Kitchen Equipment'!AB73&amp;" "&amp;'Kitchen Equipment'!AC73&amp;" "&amp;'Kitchen Equipment'!AD73&amp;" "&amp;'Kitchen Equipment'!AE73&amp;" "&amp;'Kitchen Equipment'!AF73&amp;" "&amp;'Kitchen Equipment'!AG73</f>
        <v xml:space="preserve">     </v>
      </c>
    </row>
    <row r="18" spans="1:9" ht="30" x14ac:dyDescent="0.25">
      <c r="A18" s="5" t="s">
        <v>394</v>
      </c>
      <c r="B18" s="269">
        <f>'Kitchen Equipment'!K70</f>
        <v>0</v>
      </c>
      <c r="C18" s="6" t="s">
        <v>395</v>
      </c>
    </row>
    <row r="19" spans="1:9" ht="30" x14ac:dyDescent="0.25">
      <c r="A19" s="5" t="s">
        <v>396</v>
      </c>
      <c r="B19" s="269">
        <f>IFERROR(B$18*B13/B$15,0)</f>
        <v>0</v>
      </c>
      <c r="C19" s="6"/>
      <c r="D19" t="s">
        <v>397</v>
      </c>
    </row>
    <row r="20" spans="1:9" ht="30" x14ac:dyDescent="0.25">
      <c r="A20" s="5" t="s">
        <v>398</v>
      </c>
      <c r="B20" s="269">
        <f>IFERROR(B$18*B14/B$15,0)</f>
        <v>0</v>
      </c>
      <c r="C20" s="6"/>
      <c r="D20" t="s">
        <v>397</v>
      </c>
    </row>
    <row r="21" spans="1:9" ht="30" x14ac:dyDescent="0.25">
      <c r="A21" s="5" t="s">
        <v>399</v>
      </c>
      <c r="B21" s="267">
        <f>ROUND('Kitchen Equipment'!J76,2)</f>
        <v>0</v>
      </c>
      <c r="C21" s="6" t="s">
        <v>100</v>
      </c>
    </row>
    <row r="22" spans="1:9" ht="30" x14ac:dyDescent="0.25">
      <c r="A22" s="5" t="s">
        <v>400</v>
      </c>
      <c r="B22" s="270">
        <f>CONVERT(B21,"Wh","BTU")*1000</f>
        <v>0</v>
      </c>
      <c r="C22" s="6" t="s">
        <v>395</v>
      </c>
    </row>
    <row r="23" spans="1:9" ht="30" x14ac:dyDescent="0.25">
      <c r="A23" s="5" t="s">
        <v>401</v>
      </c>
      <c r="B23" s="270">
        <f>IFERROR(B$22*B13/B$15,0)</f>
        <v>0</v>
      </c>
      <c r="C23" s="6"/>
      <c r="D23" t="s">
        <v>397</v>
      </c>
    </row>
    <row r="24" spans="1:9" ht="30" x14ac:dyDescent="0.25">
      <c r="A24" s="5" t="s">
        <v>402</v>
      </c>
      <c r="B24" s="270">
        <f>IFERROR(B$22*B14/B$15,0)</f>
        <v>0</v>
      </c>
      <c r="C24" s="6"/>
      <c r="D24" t="s">
        <v>397</v>
      </c>
    </row>
    <row r="27" spans="1:9" ht="30" customHeight="1" x14ac:dyDescent="0.25">
      <c r="C27" s="6" t="s">
        <v>403</v>
      </c>
      <c r="D27" s="5" t="s">
        <v>404</v>
      </c>
      <c r="E27" s="5" t="s">
        <v>405</v>
      </c>
      <c r="F27" s="5" t="s">
        <v>406</v>
      </c>
      <c r="G27" s="5" t="s">
        <v>407</v>
      </c>
      <c r="H27" s="5" t="s">
        <v>624</v>
      </c>
      <c r="I27" s="5" t="s">
        <v>625</v>
      </c>
    </row>
    <row r="28" spans="1:9" x14ac:dyDescent="0.25">
      <c r="C28" s="6"/>
      <c r="D28" s="6" t="s">
        <v>408</v>
      </c>
      <c r="E28" s="6" t="s">
        <v>408</v>
      </c>
      <c r="F28" s="6" t="s">
        <v>408</v>
      </c>
      <c r="G28" s="6" t="s">
        <v>408</v>
      </c>
      <c r="H28" s="6" t="s">
        <v>408</v>
      </c>
      <c r="I28" s="6" t="s">
        <v>408</v>
      </c>
    </row>
    <row r="29" spans="1:9" x14ac:dyDescent="0.25">
      <c r="C29" s="6"/>
      <c r="D29" s="6" t="s">
        <v>409</v>
      </c>
      <c r="E29" s="6" t="s">
        <v>409</v>
      </c>
      <c r="F29" s="6" t="s">
        <v>409</v>
      </c>
      <c r="G29" s="6" t="s">
        <v>409</v>
      </c>
      <c r="H29" s="6" t="s">
        <v>409</v>
      </c>
      <c r="I29" s="6" t="s">
        <v>409</v>
      </c>
    </row>
    <row r="30" spans="1:9" x14ac:dyDescent="0.25">
      <c r="C30" s="6">
        <v>1</v>
      </c>
      <c r="D30" s="267" t="e">
        <f>'Kitchen Equipment'!AB62</f>
        <v>#DIV/0!</v>
      </c>
      <c r="E30" s="267" t="e">
        <f>'Kitchen Equipment'!AB63</f>
        <v>#DIV/0!</v>
      </c>
      <c r="F30" s="267" t="e">
        <f>'Kitchen Equipment'!AB70</f>
        <v>#DIV/0!</v>
      </c>
      <c r="G30" s="267" t="e">
        <f>'Kitchen Equipment'!AB76</f>
        <v>#DIV/0!</v>
      </c>
      <c r="H30" s="267">
        <f>'Kitchen Equipment'!AB87</f>
        <v>0.24</v>
      </c>
      <c r="I30" s="267">
        <f>'Kitchen Equipment'!AB88</f>
        <v>0.24</v>
      </c>
    </row>
    <row r="31" spans="1:9" x14ac:dyDescent="0.25">
      <c r="C31" s="6">
        <v>2</v>
      </c>
      <c r="D31" s="267" t="e">
        <f>'Kitchen Equipment'!AC62</f>
        <v>#DIV/0!</v>
      </c>
      <c r="E31" s="267" t="e">
        <f>'Kitchen Equipment'!AC63</f>
        <v>#DIV/0!</v>
      </c>
      <c r="F31" s="267" t="e">
        <f>'Kitchen Equipment'!AC70</f>
        <v>#DIV/0!</v>
      </c>
      <c r="G31" s="267" t="e">
        <f>'Kitchen Equipment'!AC76</f>
        <v>#DIV/0!</v>
      </c>
      <c r="H31" s="267">
        <f>'Kitchen Equipment'!AC87</f>
        <v>0.24</v>
      </c>
      <c r="I31" s="267">
        <f>'Kitchen Equipment'!AC88</f>
        <v>0.24</v>
      </c>
    </row>
    <row r="32" spans="1:9" x14ac:dyDescent="0.25">
      <c r="C32" s="6">
        <v>3</v>
      </c>
      <c r="D32" s="267" t="e">
        <f>'Kitchen Equipment'!AD62</f>
        <v>#DIV/0!</v>
      </c>
      <c r="E32" s="267" t="e">
        <f>'Kitchen Equipment'!AD63</f>
        <v>#DIV/0!</v>
      </c>
      <c r="F32" s="267" t="e">
        <f>'Kitchen Equipment'!AD70</f>
        <v>#DIV/0!</v>
      </c>
      <c r="G32" s="267" t="e">
        <f>'Kitchen Equipment'!AD76</f>
        <v>#DIV/0!</v>
      </c>
      <c r="H32" s="267">
        <f>'Kitchen Equipment'!AD87</f>
        <v>0.25</v>
      </c>
      <c r="I32" s="267">
        <f>'Kitchen Equipment'!AD88</f>
        <v>0.25</v>
      </c>
    </row>
    <row r="33" spans="3:9" x14ac:dyDescent="0.25">
      <c r="C33" s="6">
        <v>4</v>
      </c>
      <c r="D33" s="267" t="e">
        <f>'Kitchen Equipment'!AE62</f>
        <v>#DIV/0!</v>
      </c>
      <c r="E33" s="267" t="e">
        <f>'Kitchen Equipment'!AE63</f>
        <v>#DIV/0!</v>
      </c>
      <c r="F33" s="267" t="e">
        <f>'Kitchen Equipment'!AE70</f>
        <v>#DIV/0!</v>
      </c>
      <c r="G33" s="267" t="e">
        <f>'Kitchen Equipment'!AE76</f>
        <v>#DIV/0!</v>
      </c>
      <c r="H33" s="267">
        <f>'Kitchen Equipment'!AE87</f>
        <v>0.23</v>
      </c>
      <c r="I33" s="267">
        <f>'Kitchen Equipment'!AE88</f>
        <v>0.24</v>
      </c>
    </row>
    <row r="34" spans="3:9" x14ac:dyDescent="0.25">
      <c r="C34" s="6">
        <v>5</v>
      </c>
      <c r="D34" s="267" t="e">
        <f>'Kitchen Equipment'!AF62</f>
        <v>#DIV/0!</v>
      </c>
      <c r="E34" s="267" t="e">
        <f>'Kitchen Equipment'!AF63</f>
        <v>#DIV/0!</v>
      </c>
      <c r="F34" s="267" t="e">
        <f>'Kitchen Equipment'!AF70</f>
        <v>#DIV/0!</v>
      </c>
      <c r="G34" s="267" t="e">
        <f>'Kitchen Equipment'!AF76</f>
        <v>#DIV/0!</v>
      </c>
      <c r="H34" s="267">
        <f>'Kitchen Equipment'!AF87</f>
        <v>0.23</v>
      </c>
      <c r="I34" s="267">
        <f>'Kitchen Equipment'!AF88</f>
        <v>0.23</v>
      </c>
    </row>
    <row r="35" spans="3:9" x14ac:dyDescent="0.25">
      <c r="C35" s="6">
        <v>6</v>
      </c>
      <c r="D35" s="267" t="e">
        <f>'Kitchen Equipment'!AG62</f>
        <v>#DIV/0!</v>
      </c>
      <c r="E35" s="267" t="e">
        <f>'Kitchen Equipment'!AG63</f>
        <v>#DIV/0!</v>
      </c>
      <c r="F35" s="267" t="e">
        <f>'Kitchen Equipment'!AG70</f>
        <v>#DIV/0!</v>
      </c>
      <c r="G35" s="267" t="e">
        <f>'Kitchen Equipment'!AG76</f>
        <v>#DIV/0!</v>
      </c>
      <c r="H35" s="267">
        <f>'Kitchen Equipment'!AG87</f>
        <v>0.24</v>
      </c>
      <c r="I35" s="267">
        <f>'Kitchen Equipment'!AG88</f>
        <v>0.24</v>
      </c>
    </row>
    <row r="36" spans="3:9" x14ac:dyDescent="0.25">
      <c r="C36" s="6">
        <v>7</v>
      </c>
      <c r="D36" s="267" t="e">
        <f>'Kitchen Equipment'!AH62</f>
        <v>#DIV/0!</v>
      </c>
      <c r="E36" s="267" t="e">
        <f>'Kitchen Equipment'!AH63</f>
        <v>#DIV/0!</v>
      </c>
      <c r="F36" s="267" t="e">
        <f>'Kitchen Equipment'!AH70</f>
        <v>#DIV/0!</v>
      </c>
      <c r="G36" s="267" t="e">
        <f>'Kitchen Equipment'!AH76</f>
        <v>#DIV/0!</v>
      </c>
      <c r="H36" s="267">
        <f>'Kitchen Equipment'!AH87</f>
        <v>0.27</v>
      </c>
      <c r="I36" s="267">
        <f>'Kitchen Equipment'!AH88</f>
        <v>0.24</v>
      </c>
    </row>
    <row r="37" spans="3:9" x14ac:dyDescent="0.25">
      <c r="C37" s="6">
        <v>8</v>
      </c>
      <c r="D37" s="267" t="e">
        <f>'Kitchen Equipment'!AI62</f>
        <v>#DIV/0!</v>
      </c>
      <c r="E37" s="267" t="e">
        <f>'Kitchen Equipment'!AI63</f>
        <v>#DIV/0!</v>
      </c>
      <c r="F37" s="267" t="e">
        <f>'Kitchen Equipment'!AI70</f>
        <v>#DIV/0!</v>
      </c>
      <c r="G37" s="267" t="e">
        <f>'Kitchen Equipment'!AI76</f>
        <v>#DIV/0!</v>
      </c>
      <c r="H37" s="267">
        <f>'Kitchen Equipment'!AI87</f>
        <v>0.28999999999999998</v>
      </c>
      <c r="I37" s="267">
        <f>'Kitchen Equipment'!AI88</f>
        <v>0.25</v>
      </c>
    </row>
    <row r="38" spans="3:9" x14ac:dyDescent="0.25">
      <c r="C38" s="6">
        <v>9</v>
      </c>
      <c r="D38" s="267" t="e">
        <f>'Kitchen Equipment'!AJ62</f>
        <v>#DIV/0!</v>
      </c>
      <c r="E38" s="267" t="e">
        <f>'Kitchen Equipment'!AJ63</f>
        <v>#DIV/0!</v>
      </c>
      <c r="F38" s="267" t="e">
        <f>'Kitchen Equipment'!AJ70</f>
        <v>#DIV/0!</v>
      </c>
      <c r="G38" s="267" t="e">
        <f>'Kitchen Equipment'!AJ76</f>
        <v>#DIV/0!</v>
      </c>
      <c r="H38" s="267">
        <f>'Kitchen Equipment'!AJ87</f>
        <v>0.27</v>
      </c>
      <c r="I38" s="267">
        <f>'Kitchen Equipment'!AJ88</f>
        <v>0.23</v>
      </c>
    </row>
    <row r="39" spans="3:9" x14ac:dyDescent="0.25">
      <c r="C39" s="6">
        <v>10</v>
      </c>
      <c r="D39" s="267" t="e">
        <f>'Kitchen Equipment'!AK62</f>
        <v>#DIV/0!</v>
      </c>
      <c r="E39" s="267" t="e">
        <f>'Kitchen Equipment'!AK63</f>
        <v>#DIV/0!</v>
      </c>
      <c r="F39" s="267" t="e">
        <f>'Kitchen Equipment'!AK70</f>
        <v>#DIV/0!</v>
      </c>
      <c r="G39" s="267" t="e">
        <f>'Kitchen Equipment'!AK76</f>
        <v>#DIV/0!</v>
      </c>
      <c r="H39" s="267">
        <f>'Kitchen Equipment'!AK87</f>
        <v>0.27</v>
      </c>
      <c r="I39" s="267">
        <f>'Kitchen Equipment'!AK88</f>
        <v>0.23</v>
      </c>
    </row>
    <row r="40" spans="3:9" x14ac:dyDescent="0.25">
      <c r="C40" s="6">
        <v>11</v>
      </c>
      <c r="D40" s="267" t="e">
        <f>'Kitchen Equipment'!AL62</f>
        <v>#DIV/0!</v>
      </c>
      <c r="E40" s="267" t="e">
        <f>'Kitchen Equipment'!AL63</f>
        <v>#DIV/0!</v>
      </c>
      <c r="F40" s="267" t="e">
        <f>'Kitchen Equipment'!AL70</f>
        <v>#DIV/0!</v>
      </c>
      <c r="G40" s="267" t="e">
        <f>'Kitchen Equipment'!AL76</f>
        <v>#DIV/0!</v>
      </c>
      <c r="H40" s="267">
        <f>'Kitchen Equipment'!AL87</f>
        <v>0.28000000000000003</v>
      </c>
      <c r="I40" s="267">
        <f>'Kitchen Equipment'!AL88</f>
        <v>0.23</v>
      </c>
    </row>
    <row r="41" spans="3:9" x14ac:dyDescent="0.25">
      <c r="C41" s="6">
        <v>12</v>
      </c>
      <c r="D41" s="267" t="e">
        <f>'Kitchen Equipment'!AM62</f>
        <v>#DIV/0!</v>
      </c>
      <c r="E41" s="267" t="e">
        <f>'Kitchen Equipment'!AM63</f>
        <v>#DIV/0!</v>
      </c>
      <c r="F41" s="267" t="e">
        <f>'Kitchen Equipment'!AM70</f>
        <v>#DIV/0!</v>
      </c>
      <c r="G41" s="267" t="e">
        <f>'Kitchen Equipment'!AM76</f>
        <v>#DIV/0!</v>
      </c>
      <c r="H41" s="267">
        <f>'Kitchen Equipment'!AM87</f>
        <v>0.28000000000000003</v>
      </c>
      <c r="I41" s="267">
        <f>'Kitchen Equipment'!AM88</f>
        <v>0.24</v>
      </c>
    </row>
    <row r="42" spans="3:9" x14ac:dyDescent="0.25">
      <c r="C42" s="6">
        <v>13</v>
      </c>
      <c r="D42" s="267" t="e">
        <f>'Kitchen Equipment'!AN62</f>
        <v>#DIV/0!</v>
      </c>
      <c r="E42" s="267" t="e">
        <f>'Kitchen Equipment'!AN63</f>
        <v>#DIV/0!</v>
      </c>
      <c r="F42" s="267" t="e">
        <f>'Kitchen Equipment'!AN70</f>
        <v>#DIV/0!</v>
      </c>
      <c r="G42" s="267" t="e">
        <f>'Kitchen Equipment'!AN76</f>
        <v>#DIV/0!</v>
      </c>
      <c r="H42" s="267">
        <f>'Kitchen Equipment'!AN87</f>
        <v>0.28999999999999998</v>
      </c>
      <c r="I42" s="267">
        <f>'Kitchen Equipment'!AN88</f>
        <v>0.24</v>
      </c>
    </row>
    <row r="43" spans="3:9" x14ac:dyDescent="0.25">
      <c r="C43" s="6">
        <v>14</v>
      </c>
      <c r="D43" s="267" t="e">
        <f>'Kitchen Equipment'!AO62</f>
        <v>#DIV/0!</v>
      </c>
      <c r="E43" s="267" t="e">
        <f>'Kitchen Equipment'!AO63</f>
        <v>#DIV/0!</v>
      </c>
      <c r="F43" s="267" t="e">
        <f>'Kitchen Equipment'!AO70</f>
        <v>#DIV/0!</v>
      </c>
      <c r="G43" s="267" t="e">
        <f>'Kitchen Equipment'!AO76</f>
        <v>#DIV/0!</v>
      </c>
      <c r="H43" s="267">
        <f>'Kitchen Equipment'!AO87</f>
        <v>0.28999999999999998</v>
      </c>
      <c r="I43" s="267">
        <f>'Kitchen Equipment'!AO88</f>
        <v>0.25</v>
      </c>
    </row>
    <row r="44" spans="3:9" x14ac:dyDescent="0.25">
      <c r="C44" s="6">
        <v>15</v>
      </c>
      <c r="D44" s="267" t="e">
        <f>'Kitchen Equipment'!AP62</f>
        <v>#DIV/0!</v>
      </c>
      <c r="E44" s="267" t="e">
        <f>'Kitchen Equipment'!AP63</f>
        <v>#DIV/0!</v>
      </c>
      <c r="F44" s="267" t="e">
        <f>'Kitchen Equipment'!AP70</f>
        <v>#DIV/0!</v>
      </c>
      <c r="G44" s="267" t="e">
        <f>'Kitchen Equipment'!AP76</f>
        <v>#DIV/0!</v>
      </c>
      <c r="H44" s="267">
        <f>'Kitchen Equipment'!AP87</f>
        <v>0.28000000000000003</v>
      </c>
      <c r="I44" s="267">
        <f>'Kitchen Equipment'!AP88</f>
        <v>0.24</v>
      </c>
    </row>
    <row r="45" spans="3:9" x14ac:dyDescent="0.25">
      <c r="C45" s="6">
        <v>16</v>
      </c>
      <c r="D45" s="267" t="e">
        <f>'Kitchen Equipment'!AQ62</f>
        <v>#DIV/0!</v>
      </c>
      <c r="E45" s="267" t="e">
        <f>'Kitchen Equipment'!AQ63</f>
        <v>#DIV/0!</v>
      </c>
      <c r="F45" s="267" t="e">
        <f>'Kitchen Equipment'!AQ70</f>
        <v>#DIV/0!</v>
      </c>
      <c r="G45" s="267" t="e">
        <f>'Kitchen Equipment'!AQ76</f>
        <v>#DIV/0!</v>
      </c>
      <c r="H45" s="267">
        <f>'Kitchen Equipment'!AQ87</f>
        <v>0.24</v>
      </c>
      <c r="I45" s="267">
        <f>'Kitchen Equipment'!AQ88</f>
        <v>0.23</v>
      </c>
    </row>
    <row r="46" spans="3:9" x14ac:dyDescent="0.25">
      <c r="C46" s="6">
        <v>17</v>
      </c>
      <c r="D46" s="267" t="e">
        <f>'Kitchen Equipment'!AR62</f>
        <v>#DIV/0!</v>
      </c>
      <c r="E46" s="267" t="e">
        <f>'Kitchen Equipment'!AR63</f>
        <v>#DIV/0!</v>
      </c>
      <c r="F46" s="267" t="e">
        <f>'Kitchen Equipment'!AR70</f>
        <v>#DIV/0!</v>
      </c>
      <c r="G46" s="267" t="e">
        <f>'Kitchen Equipment'!AR76</f>
        <v>#DIV/0!</v>
      </c>
      <c r="H46" s="267">
        <f>'Kitchen Equipment'!AR87</f>
        <v>0.24</v>
      </c>
      <c r="I46" s="267">
        <f>'Kitchen Equipment'!AR88</f>
        <v>0.24</v>
      </c>
    </row>
    <row r="47" spans="3:9" x14ac:dyDescent="0.25">
      <c r="C47" s="6">
        <v>18</v>
      </c>
      <c r="D47" s="267" t="e">
        <f>'Kitchen Equipment'!AS62</f>
        <v>#DIV/0!</v>
      </c>
      <c r="E47" s="267" t="e">
        <f>'Kitchen Equipment'!AS63</f>
        <v>#DIV/0!</v>
      </c>
      <c r="F47" s="267" t="e">
        <f>'Kitchen Equipment'!AS70</f>
        <v>#DIV/0!</v>
      </c>
      <c r="G47" s="267" t="e">
        <f>'Kitchen Equipment'!AS76</f>
        <v>#DIV/0!</v>
      </c>
      <c r="H47" s="267">
        <f>'Kitchen Equipment'!AS87</f>
        <v>0.25</v>
      </c>
      <c r="I47" s="267">
        <f>'Kitchen Equipment'!AS88</f>
        <v>0.24</v>
      </c>
    </row>
    <row r="48" spans="3:9" x14ac:dyDescent="0.25">
      <c r="C48" s="6">
        <v>19</v>
      </c>
      <c r="D48" s="267" t="e">
        <f>'Kitchen Equipment'!AT62</f>
        <v>#DIV/0!</v>
      </c>
      <c r="E48" s="267" t="e">
        <f>'Kitchen Equipment'!AT63</f>
        <v>#DIV/0!</v>
      </c>
      <c r="F48" s="267" t="e">
        <f>'Kitchen Equipment'!AT70</f>
        <v>#DIV/0!</v>
      </c>
      <c r="G48" s="267" t="e">
        <f>'Kitchen Equipment'!AT76</f>
        <v>#DIV/0!</v>
      </c>
      <c r="H48" s="267">
        <f>'Kitchen Equipment'!AT87</f>
        <v>0.25</v>
      </c>
      <c r="I48" s="267">
        <f>'Kitchen Equipment'!AT88</f>
        <v>0.24</v>
      </c>
    </row>
    <row r="49" spans="3:9" x14ac:dyDescent="0.25">
      <c r="C49" s="6">
        <v>20</v>
      </c>
      <c r="D49" s="267" t="e">
        <f>'Kitchen Equipment'!AU62</f>
        <v>#DIV/0!</v>
      </c>
      <c r="E49" s="267" t="e">
        <f>'Kitchen Equipment'!AU63</f>
        <v>#DIV/0!</v>
      </c>
      <c r="F49" s="267" t="e">
        <f>'Kitchen Equipment'!AU70</f>
        <v>#DIV/0!</v>
      </c>
      <c r="G49" s="267" t="e">
        <f>'Kitchen Equipment'!AU76</f>
        <v>#DIV/0!</v>
      </c>
      <c r="H49" s="267">
        <f>'Kitchen Equipment'!AU87</f>
        <v>0.25</v>
      </c>
      <c r="I49" s="267">
        <f>'Kitchen Equipment'!AU88</f>
        <v>0.24</v>
      </c>
    </row>
    <row r="50" spans="3:9" x14ac:dyDescent="0.25">
      <c r="C50" s="6">
        <v>21</v>
      </c>
      <c r="D50" s="267" t="e">
        <f>'Kitchen Equipment'!AV62</f>
        <v>#DIV/0!</v>
      </c>
      <c r="E50" s="267" t="e">
        <f>'Kitchen Equipment'!AV63</f>
        <v>#DIV/0!</v>
      </c>
      <c r="F50" s="267" t="e">
        <f>'Kitchen Equipment'!AV70</f>
        <v>#DIV/0!</v>
      </c>
      <c r="G50" s="267" t="e">
        <f>'Kitchen Equipment'!AV76</f>
        <v>#DIV/0!</v>
      </c>
      <c r="H50" s="267">
        <f>'Kitchen Equipment'!AV87</f>
        <v>0.24</v>
      </c>
      <c r="I50" s="267">
        <f>'Kitchen Equipment'!AV88</f>
        <v>0.23</v>
      </c>
    </row>
    <row r="51" spans="3:9" x14ac:dyDescent="0.25">
      <c r="C51" s="6">
        <v>22</v>
      </c>
      <c r="D51" s="267" t="e">
        <f>'Kitchen Equipment'!AW62</f>
        <v>#DIV/0!</v>
      </c>
      <c r="E51" s="267" t="e">
        <f>'Kitchen Equipment'!AW63</f>
        <v>#DIV/0!</v>
      </c>
      <c r="F51" s="267" t="e">
        <f>'Kitchen Equipment'!AW70</f>
        <v>#DIV/0!</v>
      </c>
      <c r="G51" s="267" t="e">
        <f>'Kitchen Equipment'!AW76</f>
        <v>#DIV/0!</v>
      </c>
      <c r="H51" s="267">
        <f>'Kitchen Equipment'!AW87</f>
        <v>0.24</v>
      </c>
      <c r="I51" s="267">
        <f>'Kitchen Equipment'!AW88</f>
        <v>0.23</v>
      </c>
    </row>
    <row r="52" spans="3:9" x14ac:dyDescent="0.25">
      <c r="C52" s="6">
        <v>23</v>
      </c>
      <c r="D52" s="267" t="e">
        <f>'Kitchen Equipment'!AX62</f>
        <v>#DIV/0!</v>
      </c>
      <c r="E52" s="267" t="e">
        <f>'Kitchen Equipment'!AX63</f>
        <v>#DIV/0!</v>
      </c>
      <c r="F52" s="267" t="e">
        <f>'Kitchen Equipment'!AX70</f>
        <v>#DIV/0!</v>
      </c>
      <c r="G52" s="267" t="e">
        <f>'Kitchen Equipment'!AX76</f>
        <v>#DIV/0!</v>
      </c>
      <c r="H52" s="267">
        <f>'Kitchen Equipment'!AX87</f>
        <v>0.24</v>
      </c>
      <c r="I52" s="267">
        <f>'Kitchen Equipment'!AX88</f>
        <v>0.23</v>
      </c>
    </row>
    <row r="53" spans="3:9" x14ac:dyDescent="0.25">
      <c r="C53" s="6">
        <v>24</v>
      </c>
      <c r="D53" s="267" t="e">
        <f>'Kitchen Equipment'!AY62</f>
        <v>#DIV/0!</v>
      </c>
      <c r="E53" s="267" t="e">
        <f>'Kitchen Equipment'!AY63</f>
        <v>#DIV/0!</v>
      </c>
      <c r="F53" s="267" t="e">
        <f>'Kitchen Equipment'!AY70</f>
        <v>#DIV/0!</v>
      </c>
      <c r="G53" s="267" t="e">
        <f>'Kitchen Equipment'!AY76</f>
        <v>#DIV/0!</v>
      </c>
      <c r="H53" s="267">
        <f>'Kitchen Equipment'!AY87</f>
        <v>0.24</v>
      </c>
      <c r="I53" s="267">
        <f>'Kitchen Equipment'!AY87</f>
        <v>0.24</v>
      </c>
    </row>
    <row r="54" spans="3:9" x14ac:dyDescent="0.25">
      <c r="C54" s="6"/>
      <c r="D54" s="6" t="s">
        <v>410</v>
      </c>
      <c r="E54" s="6" t="s">
        <v>410</v>
      </c>
      <c r="F54" s="6" t="s">
        <v>410</v>
      </c>
      <c r="G54" s="6" t="s">
        <v>410</v>
      </c>
      <c r="H54" s="6" t="s">
        <v>410</v>
      </c>
      <c r="I54" s="6" t="s">
        <v>410</v>
      </c>
    </row>
    <row r="55" spans="3:9" x14ac:dyDescent="0.25">
      <c r="C55" s="6"/>
      <c r="D55" s="6" t="s">
        <v>411</v>
      </c>
      <c r="E55" s="6" t="s">
        <v>411</v>
      </c>
      <c r="F55" s="6" t="s">
        <v>411</v>
      </c>
      <c r="G55" s="6" t="s">
        <v>411</v>
      </c>
      <c r="H55" s="6" t="s">
        <v>411</v>
      </c>
      <c r="I55" s="6" t="s">
        <v>411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50A41-6455-47B3-876C-67BEE821C4E1}">
  <sheetPr codeName="Sheet9">
    <tabColor rgb="FFFFC000"/>
  </sheetPr>
  <dimension ref="A1:AY106"/>
  <sheetViews>
    <sheetView zoomScale="85" zoomScaleNormal="85" workbookViewId="0">
      <selection activeCell="B13" sqref="B13"/>
    </sheetView>
  </sheetViews>
  <sheetFormatPr defaultRowHeight="15" x14ac:dyDescent="0.25"/>
  <cols>
    <col min="1" max="1" width="27.7109375" customWidth="1"/>
    <col min="2" max="2" width="13.28515625" customWidth="1"/>
    <col min="3" max="3" width="38.85546875" bestFit="1" customWidth="1"/>
    <col min="4" max="4" width="7.85546875" bestFit="1" customWidth="1"/>
    <col min="6" max="6" width="10.42578125" customWidth="1"/>
    <col min="7" max="8" width="8.85546875" customWidth="1"/>
    <col min="9" max="9" width="9.42578125" customWidth="1"/>
    <col min="10" max="10" width="12" customWidth="1"/>
    <col min="11" max="13" width="10.5703125" customWidth="1"/>
    <col min="14" max="14" width="37.140625" hidden="1" customWidth="1"/>
    <col min="15" max="15" width="10.28515625" hidden="1" customWidth="1"/>
    <col min="16" max="16" width="11.42578125" hidden="1" customWidth="1"/>
    <col min="17" max="17" width="11.5703125" style="189" hidden="1" customWidth="1"/>
    <col min="18" max="18" width="54.28515625" hidden="1" customWidth="1"/>
    <col min="19" max="19" width="13" hidden="1" customWidth="1"/>
    <col min="20" max="20" width="12.5703125" hidden="1" customWidth="1"/>
    <col min="21" max="21" width="12.140625" hidden="1" customWidth="1"/>
    <col min="22" max="22" width="12.42578125" hidden="1" customWidth="1"/>
    <col min="23" max="23" width="12.85546875" hidden="1" customWidth="1"/>
    <col min="24" max="24" width="13.7109375" hidden="1" customWidth="1"/>
    <col min="25" max="25" width="11.5703125" hidden="1" customWidth="1"/>
    <col min="26" max="26" width="61.85546875" hidden="1" customWidth="1"/>
    <col min="27" max="50" width="0" hidden="1" customWidth="1"/>
    <col min="51" max="51" width="5.140625" hidden="1" customWidth="1"/>
  </cols>
  <sheetData>
    <row r="1" spans="1:51" ht="45.75" thickBot="1" x14ac:dyDescent="0.3">
      <c r="A1" s="80"/>
      <c r="B1" s="81" t="s">
        <v>243</v>
      </c>
      <c r="C1" s="82" t="s">
        <v>23</v>
      </c>
      <c r="D1" s="82" t="s">
        <v>244</v>
      </c>
      <c r="E1" s="82" t="s">
        <v>100</v>
      </c>
      <c r="F1" s="82" t="s">
        <v>245</v>
      </c>
      <c r="G1" s="82" t="s">
        <v>246</v>
      </c>
      <c r="H1" s="82" t="s">
        <v>247</v>
      </c>
      <c r="I1" s="82" t="s">
        <v>248</v>
      </c>
      <c r="J1" s="83" t="s">
        <v>249</v>
      </c>
      <c r="N1" s="82" t="s">
        <v>250</v>
      </c>
      <c r="O1" s="82" t="s">
        <v>251</v>
      </c>
      <c r="P1" s="82" t="s">
        <v>252</v>
      </c>
      <c r="Q1" s="82" t="s">
        <v>253</v>
      </c>
      <c r="R1" s="84" t="s">
        <v>254</v>
      </c>
      <c r="S1" s="84" t="s">
        <v>255</v>
      </c>
      <c r="T1" s="82" t="s">
        <v>256</v>
      </c>
      <c r="U1" s="84" t="s">
        <v>257</v>
      </c>
      <c r="V1" s="84" t="s">
        <v>258</v>
      </c>
      <c r="W1" s="83" t="s">
        <v>259</v>
      </c>
      <c r="X1" s="85" t="s">
        <v>260</v>
      </c>
      <c r="Y1" s="84" t="s">
        <v>261</v>
      </c>
      <c r="AA1" s="86" t="s">
        <v>262</v>
      </c>
      <c r="AB1" s="86">
        <v>1</v>
      </c>
      <c r="AC1" s="86">
        <v>2</v>
      </c>
      <c r="AD1" s="86">
        <v>3</v>
      </c>
      <c r="AE1" s="86">
        <v>4</v>
      </c>
      <c r="AF1" s="86">
        <v>5</v>
      </c>
      <c r="AG1" s="86">
        <v>6</v>
      </c>
      <c r="AH1" s="86">
        <v>7</v>
      </c>
      <c r="AI1" s="86">
        <v>8</v>
      </c>
      <c r="AJ1" s="86">
        <v>9</v>
      </c>
      <c r="AK1" s="86">
        <v>10</v>
      </c>
      <c r="AL1" s="86">
        <v>11</v>
      </c>
      <c r="AM1" s="86">
        <v>12</v>
      </c>
      <c r="AN1" s="86">
        <v>13</v>
      </c>
      <c r="AO1" s="86">
        <v>14</v>
      </c>
      <c r="AP1" s="86">
        <v>15</v>
      </c>
      <c r="AQ1" s="86">
        <v>16</v>
      </c>
      <c r="AR1" s="86">
        <v>17</v>
      </c>
      <c r="AS1" s="86">
        <v>18</v>
      </c>
      <c r="AT1" s="86">
        <v>19</v>
      </c>
      <c r="AU1" s="86">
        <v>20</v>
      </c>
      <c r="AV1" s="86">
        <v>21</v>
      </c>
      <c r="AW1" s="86">
        <v>22</v>
      </c>
      <c r="AX1" s="86">
        <v>23</v>
      </c>
      <c r="AY1" s="86">
        <v>24</v>
      </c>
    </row>
    <row r="2" spans="1:51" ht="15.75" thickBot="1" x14ac:dyDescent="0.3">
      <c r="A2" s="87"/>
      <c r="B2" s="88"/>
      <c r="C2" s="88" t="s">
        <v>184</v>
      </c>
      <c r="D2" s="88"/>
      <c r="E2" s="89"/>
      <c r="F2" s="89"/>
      <c r="G2" s="89"/>
      <c r="H2" s="89"/>
      <c r="I2" s="90"/>
      <c r="J2" s="91">
        <f>SUM(J3:J34)</f>
        <v>0</v>
      </c>
      <c r="N2" s="89"/>
      <c r="O2" s="89"/>
      <c r="P2" s="89"/>
      <c r="Q2" s="89" t="s">
        <v>100</v>
      </c>
      <c r="R2" s="92"/>
      <c r="S2" s="92"/>
      <c r="T2" s="89"/>
      <c r="U2" s="92"/>
      <c r="V2" s="55">
        <f>SUM(V3:V34)</f>
        <v>0</v>
      </c>
      <c r="W2" s="93"/>
      <c r="Y2" s="92"/>
    </row>
    <row r="3" spans="1:51" ht="15.75" thickBot="1" x14ac:dyDescent="0.3">
      <c r="A3" s="488" t="s">
        <v>151</v>
      </c>
      <c r="B3" s="94"/>
      <c r="C3" s="95" t="s">
        <v>263</v>
      </c>
      <c r="D3" s="96"/>
      <c r="E3" s="97"/>
      <c r="F3" s="98">
        <v>5.6</v>
      </c>
      <c r="G3" s="98">
        <v>120</v>
      </c>
      <c r="H3" s="98">
        <v>1</v>
      </c>
      <c r="I3" s="99">
        <f>IF(E3="",F3*G3*SQRT(H3),E3*1000)</f>
        <v>672</v>
      </c>
      <c r="J3" s="100">
        <f>D3*I3/1000</f>
        <v>0</v>
      </c>
      <c r="N3" s="95" t="s">
        <v>264</v>
      </c>
      <c r="O3" s="95" t="s">
        <v>264</v>
      </c>
      <c r="P3" s="101">
        <f>IF(N3="NA",1,INDEX($O$101:$O$106,MATCH(N3,$N$101:$N$106,0)))</f>
        <v>1</v>
      </c>
      <c r="Q3" s="102">
        <f>J3*P3</f>
        <v>0</v>
      </c>
      <c r="R3" s="101">
        <f>$O$97</f>
        <v>1</v>
      </c>
      <c r="S3" s="103" t="s">
        <v>265</v>
      </c>
      <c r="T3" s="95">
        <v>8</v>
      </c>
      <c r="U3" s="102">
        <f>D3*R3*T3*Q3*3.412*$O$93</f>
        <v>0</v>
      </c>
      <c r="V3" s="104">
        <f>U3*Y3</f>
        <v>0</v>
      </c>
      <c r="W3" s="105" t="e">
        <f>V3/$V$2</f>
        <v>#DIV/0!</v>
      </c>
      <c r="Y3" s="102">
        <f>$O$96</f>
        <v>251</v>
      </c>
      <c r="Z3">
        <f>IF(Y3=365,1,0)</f>
        <v>0</v>
      </c>
      <c r="AA3" s="86" t="str">
        <f t="shared" ref="AA3:AA34" si="0">C3</f>
        <v>Sink Agitator</v>
      </c>
      <c r="AB3" s="106"/>
      <c r="AC3" s="106"/>
      <c r="AD3" s="106"/>
      <c r="AE3" s="106"/>
      <c r="AF3" s="106"/>
      <c r="AG3" s="106"/>
      <c r="AH3" s="106"/>
      <c r="AI3" s="107">
        <f t="shared" ref="AI3:AN3" si="1">$P$3</f>
        <v>1</v>
      </c>
      <c r="AJ3" s="107">
        <f t="shared" si="1"/>
        <v>1</v>
      </c>
      <c r="AK3" s="107">
        <f t="shared" si="1"/>
        <v>1</v>
      </c>
      <c r="AL3" s="107">
        <f t="shared" si="1"/>
        <v>1</v>
      </c>
      <c r="AM3" s="107">
        <f t="shared" si="1"/>
        <v>1</v>
      </c>
      <c r="AN3" s="107">
        <f t="shared" si="1"/>
        <v>1</v>
      </c>
      <c r="AO3" s="108">
        <v>1</v>
      </c>
      <c r="AP3" s="108">
        <v>1</v>
      </c>
      <c r="AQ3" s="86"/>
      <c r="AR3" s="86"/>
      <c r="AS3" s="86"/>
      <c r="AT3" s="86"/>
      <c r="AU3" s="86"/>
      <c r="AV3" s="86"/>
      <c r="AW3" s="86"/>
      <c r="AX3" s="86"/>
      <c r="AY3" s="86"/>
    </row>
    <row r="4" spans="1:51" ht="15.75" thickBot="1" x14ac:dyDescent="0.3">
      <c r="A4" s="490"/>
      <c r="B4" s="109"/>
      <c r="C4" s="86" t="s">
        <v>266</v>
      </c>
      <c r="D4" s="110"/>
      <c r="E4" s="111">
        <v>9</v>
      </c>
      <c r="F4" s="112">
        <v>25</v>
      </c>
      <c r="G4" s="112">
        <v>208</v>
      </c>
      <c r="H4" s="112">
        <v>3</v>
      </c>
      <c r="I4" s="113">
        <f>IF(E4="",F4*G4*SQRT(H4),E4*1000)</f>
        <v>9000</v>
      </c>
      <c r="J4" s="114">
        <f t="shared" ref="J4:J34" si="2">D4*I4/1000</f>
        <v>0</v>
      </c>
      <c r="N4" s="86" t="s">
        <v>267</v>
      </c>
      <c r="O4" s="86">
        <v>130000</v>
      </c>
      <c r="P4" s="115">
        <f>IF(N4="NA",1,INDEX($O$101:$O$106,MATCH(N4,$N$101:$N$106,0)))</f>
        <v>0.1</v>
      </c>
      <c r="Q4" s="116">
        <f>J4*P4</f>
        <v>0</v>
      </c>
      <c r="R4" s="115">
        <f>$O$97</f>
        <v>1</v>
      </c>
      <c r="S4" s="117" t="s">
        <v>265</v>
      </c>
      <c r="T4" s="86">
        <v>8</v>
      </c>
      <c r="U4" s="116">
        <f>D4*R4*T4*Q4*3.412*$O$93</f>
        <v>0</v>
      </c>
      <c r="V4" s="118">
        <f>U4*Y4</f>
        <v>0</v>
      </c>
      <c r="W4" s="119" t="e">
        <f>V4/$V$2</f>
        <v>#DIV/0!</v>
      </c>
      <c r="Y4" s="102">
        <f>$O$96</f>
        <v>251</v>
      </c>
      <c r="Z4">
        <f t="shared" ref="Z4:Z34" si="3">IF(Y4=365,1,0)</f>
        <v>0</v>
      </c>
      <c r="AA4" s="86" t="str">
        <f t="shared" si="0"/>
        <v>Sink Heater</v>
      </c>
      <c r="AB4" s="106"/>
      <c r="AC4" s="106"/>
      <c r="AD4" s="106"/>
      <c r="AE4" s="106"/>
      <c r="AF4" s="106"/>
      <c r="AG4" s="106"/>
      <c r="AH4" s="106"/>
      <c r="AI4" s="107">
        <f t="shared" ref="AI4:AN4" si="4">$P$4</f>
        <v>0.1</v>
      </c>
      <c r="AJ4" s="107">
        <f t="shared" si="4"/>
        <v>0.1</v>
      </c>
      <c r="AK4" s="107">
        <f t="shared" si="4"/>
        <v>0.1</v>
      </c>
      <c r="AL4" s="107">
        <f t="shared" si="4"/>
        <v>0.1</v>
      </c>
      <c r="AM4" s="107">
        <f t="shared" si="4"/>
        <v>0.1</v>
      </c>
      <c r="AN4" s="107">
        <f t="shared" si="4"/>
        <v>0.1</v>
      </c>
      <c r="AO4" s="108">
        <v>1</v>
      </c>
      <c r="AP4" s="107">
        <f>$P$4</f>
        <v>0.1</v>
      </c>
      <c r="AQ4" s="86"/>
      <c r="AR4" s="86"/>
      <c r="AS4" s="86"/>
      <c r="AT4" s="86"/>
      <c r="AU4" s="86"/>
      <c r="AV4" s="86"/>
      <c r="AW4" s="86"/>
      <c r="AX4" s="86"/>
      <c r="AY4" s="86"/>
    </row>
    <row r="5" spans="1:51" ht="15.75" thickBot="1" x14ac:dyDescent="0.3">
      <c r="A5" s="490"/>
      <c r="B5" s="109"/>
      <c r="C5" s="86" t="s">
        <v>268</v>
      </c>
      <c r="D5" s="110"/>
      <c r="E5" s="111"/>
      <c r="F5" s="112">
        <v>10</v>
      </c>
      <c r="G5" s="112">
        <v>120</v>
      </c>
      <c r="H5" s="112">
        <v>1</v>
      </c>
      <c r="I5" s="113">
        <f>IF(E5="",F5*G5*SQRT(H5),E5*1000)</f>
        <v>1200</v>
      </c>
      <c r="J5" s="114">
        <f t="shared" si="2"/>
        <v>0</v>
      </c>
      <c r="N5" s="86" t="s">
        <v>264</v>
      </c>
      <c r="O5" s="86" t="s">
        <v>264</v>
      </c>
      <c r="P5" s="115">
        <f>IF(N5="NA",1,INDEX($O$101:$O$106,MATCH(N5,$N$101:$N$106,0)))</f>
        <v>1</v>
      </c>
      <c r="Q5" s="116">
        <f>J5*P5</f>
        <v>0</v>
      </c>
      <c r="R5" s="115">
        <f>$O$97</f>
        <v>1</v>
      </c>
      <c r="S5" s="117" t="s">
        <v>269</v>
      </c>
      <c r="T5" s="86">
        <v>6</v>
      </c>
      <c r="U5" s="116">
        <f>D5*R5*T5*Q5*3.412*$O$93</f>
        <v>0</v>
      </c>
      <c r="V5" s="118">
        <f>U5*Y5</f>
        <v>0</v>
      </c>
      <c r="W5" s="119" t="e">
        <f>V5/$V$2</f>
        <v>#DIV/0!</v>
      </c>
      <c r="Y5" s="102">
        <f>$O$96</f>
        <v>251</v>
      </c>
      <c r="Z5">
        <f t="shared" si="3"/>
        <v>0</v>
      </c>
      <c r="AA5" s="86" t="str">
        <f t="shared" si="0"/>
        <v>Ventilator Hood</v>
      </c>
      <c r="AB5" s="106"/>
      <c r="AC5" s="106"/>
      <c r="AD5" s="106"/>
      <c r="AE5" s="106"/>
      <c r="AF5" s="106"/>
      <c r="AG5" s="106"/>
      <c r="AH5" s="106"/>
      <c r="AI5" s="106"/>
      <c r="AJ5" s="106"/>
      <c r="AK5" s="108">
        <f t="shared" ref="AK5:AP5" si="5">$P$5</f>
        <v>1</v>
      </c>
      <c r="AL5" s="108">
        <f t="shared" si="5"/>
        <v>1</v>
      </c>
      <c r="AM5" s="108">
        <f t="shared" si="5"/>
        <v>1</v>
      </c>
      <c r="AN5" s="108">
        <f t="shared" si="5"/>
        <v>1</v>
      </c>
      <c r="AO5" s="108">
        <f t="shared" si="5"/>
        <v>1</v>
      </c>
      <c r="AP5" s="108">
        <f t="shared" si="5"/>
        <v>1</v>
      </c>
      <c r="AQ5" s="116"/>
      <c r="AR5" s="116"/>
      <c r="AS5" s="116"/>
      <c r="AT5" s="116"/>
      <c r="AU5" s="116"/>
      <c r="AV5" s="116"/>
      <c r="AW5" s="116"/>
      <c r="AX5" s="116"/>
      <c r="AY5" s="116"/>
    </row>
    <row r="6" spans="1:51" ht="15.75" thickBot="1" x14ac:dyDescent="0.3">
      <c r="A6" s="490"/>
      <c r="B6" s="109"/>
      <c r="C6" s="121" t="s">
        <v>270</v>
      </c>
      <c r="D6" s="121" t="s">
        <v>271</v>
      </c>
      <c r="E6" s="121">
        <v>0</v>
      </c>
      <c r="F6" s="121"/>
      <c r="G6" s="121"/>
      <c r="H6" s="121"/>
      <c r="I6" s="122"/>
      <c r="J6" s="120"/>
      <c r="N6" s="123"/>
      <c r="O6" s="123"/>
      <c r="P6" s="124"/>
      <c r="Q6" s="125"/>
      <c r="R6" s="124"/>
      <c r="S6" s="126"/>
      <c r="T6" s="123"/>
      <c r="U6" s="125"/>
      <c r="V6" s="127"/>
      <c r="W6" s="128"/>
      <c r="Y6" s="102"/>
      <c r="Z6">
        <f t="shared" si="3"/>
        <v>0</v>
      </c>
      <c r="AA6" s="86" t="str">
        <f t="shared" si="0"/>
        <v>Hood Fire Suppression System</v>
      </c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</row>
    <row r="7" spans="1:51" ht="15.75" thickBot="1" x14ac:dyDescent="0.3">
      <c r="A7" s="490"/>
      <c r="B7" s="109"/>
      <c r="C7" s="86" t="s">
        <v>272</v>
      </c>
      <c r="D7" s="110"/>
      <c r="E7" s="111"/>
      <c r="F7" s="112">
        <v>1.8</v>
      </c>
      <c r="G7" s="112">
        <v>120</v>
      </c>
      <c r="H7" s="112">
        <v>1</v>
      </c>
      <c r="I7" s="129">
        <f t="shared" ref="I7:I10" si="6">IF(E7="",F7*G7*SQRT(H7),E7*1000)</f>
        <v>216</v>
      </c>
      <c r="J7" s="114">
        <f t="shared" si="2"/>
        <v>0</v>
      </c>
      <c r="N7" s="86" t="s">
        <v>264</v>
      </c>
      <c r="O7" s="86" t="s">
        <v>264</v>
      </c>
      <c r="P7" s="115">
        <f t="shared" ref="P7:P31" si="7">IF(N7="NA",1,INDEX($O$101:$O$106,MATCH(N7,$N$101:$N$106,0)))</f>
        <v>1</v>
      </c>
      <c r="Q7" s="116">
        <f t="shared" ref="Q7:Q31" si="8">J7*P7</f>
        <v>0</v>
      </c>
      <c r="R7" s="115">
        <f>$O$98</f>
        <v>0.3</v>
      </c>
      <c r="S7" s="117" t="s">
        <v>273</v>
      </c>
      <c r="T7" s="86">
        <v>2</v>
      </c>
      <c r="U7" s="116">
        <f t="shared" ref="U7:U34" si="9">D7*R7*T7*Q7*3.412*$O$93</f>
        <v>0</v>
      </c>
      <c r="V7" s="118">
        <f>U7*Y7</f>
        <v>0</v>
      </c>
      <c r="W7" s="119" t="e">
        <f>V7/$V$2</f>
        <v>#DIV/0!</v>
      </c>
      <c r="Y7" s="102">
        <f>$O$96</f>
        <v>251</v>
      </c>
      <c r="Z7">
        <f t="shared" si="3"/>
        <v>0</v>
      </c>
      <c r="AA7" s="86" t="str">
        <f t="shared" si="0"/>
        <v>Gas Tilt Skillet</v>
      </c>
      <c r="AB7" s="106"/>
      <c r="AC7" s="106"/>
      <c r="AD7" s="106"/>
      <c r="AE7" s="106"/>
      <c r="AF7" s="106"/>
      <c r="AG7" s="106"/>
      <c r="AH7" s="106"/>
      <c r="AI7" s="106"/>
      <c r="AJ7" s="106"/>
      <c r="AK7" s="107">
        <f>$P$7</f>
        <v>1</v>
      </c>
      <c r="AL7" s="107">
        <f>$P$7</f>
        <v>1</v>
      </c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</row>
    <row r="8" spans="1:51" ht="15.75" thickBot="1" x14ac:dyDescent="0.3">
      <c r="A8" s="490"/>
      <c r="B8" s="109"/>
      <c r="C8" s="86" t="s">
        <v>274</v>
      </c>
      <c r="D8" s="110"/>
      <c r="E8" s="111">
        <v>0.1</v>
      </c>
      <c r="F8" s="112"/>
      <c r="G8" s="112">
        <v>120</v>
      </c>
      <c r="H8" s="112">
        <v>1</v>
      </c>
      <c r="I8" s="129">
        <f t="shared" si="6"/>
        <v>100</v>
      </c>
      <c r="J8" s="114">
        <f t="shared" si="2"/>
        <v>0</v>
      </c>
      <c r="N8" s="86" t="s">
        <v>264</v>
      </c>
      <c r="O8" s="86" t="s">
        <v>264</v>
      </c>
      <c r="P8" s="115">
        <f t="shared" si="7"/>
        <v>1</v>
      </c>
      <c r="Q8" s="116">
        <f t="shared" si="8"/>
        <v>0</v>
      </c>
      <c r="R8" s="115">
        <f>$O$98</f>
        <v>0.3</v>
      </c>
      <c r="S8" s="117" t="s">
        <v>275</v>
      </c>
      <c r="T8" s="86">
        <v>6</v>
      </c>
      <c r="U8" s="116">
        <f t="shared" si="9"/>
        <v>0</v>
      </c>
      <c r="V8" s="118">
        <f t="shared" ref="V8:V31" si="10">U8*Y8</f>
        <v>0</v>
      </c>
      <c r="W8" s="119" t="e">
        <f>V8/$V$2</f>
        <v>#DIV/0!</v>
      </c>
      <c r="Y8" s="102">
        <f>$O$96</f>
        <v>251</v>
      </c>
      <c r="Z8">
        <f t="shared" si="3"/>
        <v>0</v>
      </c>
      <c r="AA8" s="86" t="str">
        <f t="shared" si="0"/>
        <v>Gas fired Steamer</v>
      </c>
      <c r="AB8" s="86"/>
      <c r="AC8" s="86"/>
      <c r="AD8" s="86"/>
      <c r="AE8" s="86"/>
      <c r="AF8" s="86"/>
      <c r="AG8" s="86"/>
      <c r="AH8" s="86"/>
      <c r="AI8" s="107">
        <f t="shared" ref="AI8:AN8" si="11">$P$8</f>
        <v>1</v>
      </c>
      <c r="AJ8" s="107">
        <f t="shared" si="11"/>
        <v>1</v>
      </c>
      <c r="AK8" s="107">
        <f t="shared" si="11"/>
        <v>1</v>
      </c>
      <c r="AL8" s="107">
        <f t="shared" si="11"/>
        <v>1</v>
      </c>
      <c r="AM8" s="107">
        <f t="shared" si="11"/>
        <v>1</v>
      </c>
      <c r="AN8" s="107">
        <f t="shared" si="11"/>
        <v>1</v>
      </c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</row>
    <row r="9" spans="1:51" ht="15.75" thickBot="1" x14ac:dyDescent="0.3">
      <c r="A9" s="490"/>
      <c r="B9" s="109"/>
      <c r="C9" s="86" t="s">
        <v>276</v>
      </c>
      <c r="D9" s="110"/>
      <c r="E9" s="111"/>
      <c r="F9" s="112">
        <v>6</v>
      </c>
      <c r="G9" s="112">
        <v>120</v>
      </c>
      <c r="H9" s="112">
        <v>1</v>
      </c>
      <c r="I9" s="129">
        <f t="shared" si="6"/>
        <v>720</v>
      </c>
      <c r="J9" s="114">
        <f t="shared" si="2"/>
        <v>0</v>
      </c>
      <c r="N9" s="86" t="s">
        <v>264</v>
      </c>
      <c r="O9" s="86" t="s">
        <v>264</v>
      </c>
      <c r="P9" s="115">
        <f t="shared" si="7"/>
        <v>1</v>
      </c>
      <c r="Q9" s="116">
        <f t="shared" si="8"/>
        <v>0</v>
      </c>
      <c r="R9" s="115">
        <f>$O$98</f>
        <v>0.3</v>
      </c>
      <c r="S9" s="117" t="s">
        <v>275</v>
      </c>
      <c r="T9" s="86">
        <v>6</v>
      </c>
      <c r="U9" s="116">
        <f t="shared" si="9"/>
        <v>0</v>
      </c>
      <c r="V9" s="118">
        <f t="shared" si="10"/>
        <v>0</v>
      </c>
      <c r="W9" s="119" t="e">
        <f>V9/$V$2</f>
        <v>#DIV/0!</v>
      </c>
      <c r="Y9" s="102">
        <f>$O$96</f>
        <v>251</v>
      </c>
      <c r="Z9">
        <f t="shared" si="3"/>
        <v>0</v>
      </c>
      <c r="AA9" s="86" t="str">
        <f t="shared" si="0"/>
        <v>Natural Gas Dbl. Deck Convection Oven</v>
      </c>
      <c r="AB9" s="86"/>
      <c r="AC9" s="86"/>
      <c r="AD9" s="86"/>
      <c r="AE9" s="86"/>
      <c r="AF9" s="86"/>
      <c r="AG9" s="86"/>
      <c r="AH9" s="86"/>
      <c r="AI9" s="107">
        <f t="shared" ref="AI9:AN9" si="12">$P$9</f>
        <v>1</v>
      </c>
      <c r="AJ9" s="107">
        <f t="shared" si="12"/>
        <v>1</v>
      </c>
      <c r="AK9" s="107">
        <f t="shared" si="12"/>
        <v>1</v>
      </c>
      <c r="AL9" s="107">
        <f t="shared" si="12"/>
        <v>1</v>
      </c>
      <c r="AM9" s="107">
        <f t="shared" si="12"/>
        <v>1</v>
      </c>
      <c r="AN9" s="107">
        <f t="shared" si="12"/>
        <v>1</v>
      </c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</row>
    <row r="10" spans="1:51" ht="15" customHeight="1" thickBot="1" x14ac:dyDescent="0.3">
      <c r="A10" s="490"/>
      <c r="B10" s="109"/>
      <c r="C10" s="86" t="s">
        <v>277</v>
      </c>
      <c r="D10" s="110"/>
      <c r="E10" s="111"/>
      <c r="F10" s="112">
        <v>15</v>
      </c>
      <c r="G10" s="112">
        <v>120</v>
      </c>
      <c r="H10" s="112">
        <v>1</v>
      </c>
      <c r="I10" s="129">
        <f t="shared" si="6"/>
        <v>1800</v>
      </c>
      <c r="J10" s="114">
        <f t="shared" si="2"/>
        <v>0</v>
      </c>
      <c r="N10" s="86" t="s">
        <v>264</v>
      </c>
      <c r="O10" s="86" t="s">
        <v>264</v>
      </c>
      <c r="P10" s="115">
        <f t="shared" si="7"/>
        <v>1</v>
      </c>
      <c r="Q10" s="116">
        <f t="shared" si="8"/>
        <v>0</v>
      </c>
      <c r="R10" s="115">
        <f>$O$98</f>
        <v>0.3</v>
      </c>
      <c r="S10" s="117" t="s">
        <v>275</v>
      </c>
      <c r="T10" s="86">
        <v>6</v>
      </c>
      <c r="U10" s="116">
        <f t="shared" si="9"/>
        <v>0</v>
      </c>
      <c r="V10" s="118">
        <f t="shared" si="10"/>
        <v>0</v>
      </c>
      <c r="W10" s="119" t="e">
        <f>V10/$V$2</f>
        <v>#DIV/0!</v>
      </c>
      <c r="Y10" s="102">
        <f>$O$96</f>
        <v>251</v>
      </c>
      <c r="Z10">
        <f t="shared" si="3"/>
        <v>0</v>
      </c>
      <c r="AA10" s="86" t="str">
        <f t="shared" si="0"/>
        <v>Natural Gas 4-Burner Range w/ Oven</v>
      </c>
      <c r="AB10" s="86"/>
      <c r="AC10" s="86"/>
      <c r="AD10" s="86"/>
      <c r="AE10" s="86"/>
      <c r="AF10" s="86"/>
      <c r="AG10" s="86"/>
      <c r="AH10" s="86"/>
      <c r="AI10" s="107">
        <f t="shared" ref="AI10:AN10" si="13">$P$10</f>
        <v>1</v>
      </c>
      <c r="AJ10" s="107">
        <f t="shared" si="13"/>
        <v>1</v>
      </c>
      <c r="AK10" s="107">
        <f t="shared" si="13"/>
        <v>1</v>
      </c>
      <c r="AL10" s="107">
        <f t="shared" si="13"/>
        <v>1</v>
      </c>
      <c r="AM10" s="107">
        <f t="shared" si="13"/>
        <v>1</v>
      </c>
      <c r="AN10" s="107">
        <f t="shared" si="13"/>
        <v>1</v>
      </c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</row>
    <row r="11" spans="1:51" ht="17.25" customHeight="1" thickBot="1" x14ac:dyDescent="0.3">
      <c r="A11" s="490"/>
      <c r="B11" s="109"/>
      <c r="C11" s="86" t="s">
        <v>278</v>
      </c>
      <c r="D11" s="110"/>
      <c r="E11" s="111"/>
      <c r="F11" s="112">
        <v>15.7</v>
      </c>
      <c r="G11" s="112">
        <v>120</v>
      </c>
      <c r="H11" s="112">
        <v>1</v>
      </c>
      <c r="I11" s="129">
        <f>F11*G11*SQRT(H11)</f>
        <v>1884</v>
      </c>
      <c r="J11" s="114">
        <f t="shared" si="2"/>
        <v>0</v>
      </c>
      <c r="N11" s="86" t="s">
        <v>279</v>
      </c>
      <c r="O11" s="86">
        <v>2700</v>
      </c>
      <c r="P11" s="115">
        <f t="shared" si="7"/>
        <v>0.41</v>
      </c>
      <c r="Q11" s="116">
        <f t="shared" si="8"/>
        <v>0</v>
      </c>
      <c r="R11" s="115">
        <f>$O$97</f>
        <v>1</v>
      </c>
      <c r="S11" s="117" t="s">
        <v>280</v>
      </c>
      <c r="T11" s="86">
        <v>24</v>
      </c>
      <c r="U11" s="116">
        <f t="shared" si="9"/>
        <v>0</v>
      </c>
      <c r="V11" s="118">
        <f t="shared" si="10"/>
        <v>0</v>
      </c>
      <c r="W11" s="119" t="e">
        <f>V11/$V$2</f>
        <v>#DIV/0!</v>
      </c>
      <c r="X11">
        <f t="shared" ref="X11" si="14">9.89*365</f>
        <v>3609.8500000000004</v>
      </c>
      <c r="Y11" s="102">
        <v>365</v>
      </c>
      <c r="Z11">
        <f t="shared" si="3"/>
        <v>1</v>
      </c>
      <c r="AA11" s="86" t="str">
        <f t="shared" si="0"/>
        <v>Reach-In Freezer 1</v>
      </c>
      <c r="AB11" s="130">
        <v>1</v>
      </c>
      <c r="AC11" s="130">
        <v>1</v>
      </c>
      <c r="AD11" s="130">
        <v>1</v>
      </c>
      <c r="AE11" s="130">
        <v>1</v>
      </c>
      <c r="AF11" s="130">
        <v>1</v>
      </c>
      <c r="AG11" s="130">
        <v>1</v>
      </c>
      <c r="AH11" s="130">
        <v>1</v>
      </c>
      <c r="AI11" s="130">
        <v>1</v>
      </c>
      <c r="AJ11" s="130">
        <v>1</v>
      </c>
      <c r="AK11" s="130">
        <v>1</v>
      </c>
      <c r="AL11" s="130">
        <v>1</v>
      </c>
      <c r="AM11" s="130">
        <v>1</v>
      </c>
      <c r="AN11" s="130">
        <v>1</v>
      </c>
      <c r="AO11" s="130">
        <v>1</v>
      </c>
      <c r="AP11" s="130">
        <v>1</v>
      </c>
      <c r="AQ11" s="130">
        <v>1</v>
      </c>
      <c r="AR11" s="130">
        <v>1</v>
      </c>
      <c r="AS11" s="130">
        <v>1</v>
      </c>
      <c r="AT11" s="130">
        <v>1</v>
      </c>
      <c r="AU11" s="130">
        <v>1</v>
      </c>
      <c r="AV11" s="130">
        <v>1</v>
      </c>
      <c r="AW11" s="130">
        <v>1</v>
      </c>
      <c r="AX11" s="130">
        <v>1</v>
      </c>
      <c r="AY11" s="130">
        <v>1</v>
      </c>
    </row>
    <row r="12" spans="1:51" ht="15.75" thickBot="1" x14ac:dyDescent="0.3">
      <c r="A12" s="490"/>
      <c r="B12" s="109"/>
      <c r="C12" s="86" t="s">
        <v>284</v>
      </c>
      <c r="D12" s="110"/>
      <c r="E12" s="111"/>
      <c r="F12" s="112">
        <v>7</v>
      </c>
      <c r="G12" s="112">
        <v>120</v>
      </c>
      <c r="H12" s="112">
        <v>1</v>
      </c>
      <c r="I12" s="129">
        <f t="shared" ref="I12:I31" si="15">F12*G12*SQRT(H12)</f>
        <v>840</v>
      </c>
      <c r="J12" s="114">
        <f t="shared" si="2"/>
        <v>0</v>
      </c>
      <c r="N12" s="86" t="s">
        <v>285</v>
      </c>
      <c r="O12" s="86">
        <v>4800</v>
      </c>
      <c r="P12" s="115">
        <f t="shared" si="7"/>
        <v>0.25</v>
      </c>
      <c r="Q12" s="116">
        <f t="shared" si="8"/>
        <v>0</v>
      </c>
      <c r="R12" s="115">
        <f>$O$97</f>
        <v>1</v>
      </c>
      <c r="S12" s="117" t="s">
        <v>280</v>
      </c>
      <c r="T12" s="86">
        <v>24</v>
      </c>
      <c r="U12" s="116">
        <f t="shared" si="9"/>
        <v>0</v>
      </c>
      <c r="V12" s="118">
        <f t="shared" si="10"/>
        <v>0</v>
      </c>
      <c r="W12" s="119" t="e">
        <f t="shared" ref="W12:W28" si="16">V12/$V$2</f>
        <v>#DIV/0!</v>
      </c>
      <c r="X12">
        <f>2.78*365</f>
        <v>1014.6999999999999</v>
      </c>
      <c r="Y12" s="102">
        <v>365</v>
      </c>
      <c r="Z12">
        <f t="shared" si="3"/>
        <v>1</v>
      </c>
      <c r="AA12" s="86" t="str">
        <f t="shared" si="0"/>
        <v>Reach-in Refrigerator 1</v>
      </c>
      <c r="AB12" s="130">
        <v>1</v>
      </c>
      <c r="AC12" s="130">
        <v>1</v>
      </c>
      <c r="AD12" s="130">
        <v>1</v>
      </c>
      <c r="AE12" s="130">
        <v>1</v>
      </c>
      <c r="AF12" s="130">
        <v>1</v>
      </c>
      <c r="AG12" s="130">
        <v>1</v>
      </c>
      <c r="AH12" s="130">
        <v>1</v>
      </c>
      <c r="AI12" s="130">
        <v>1</v>
      </c>
      <c r="AJ12" s="130">
        <v>1</v>
      </c>
      <c r="AK12" s="130">
        <v>1</v>
      </c>
      <c r="AL12" s="130">
        <v>1</v>
      </c>
      <c r="AM12" s="130">
        <v>1</v>
      </c>
      <c r="AN12" s="130">
        <v>1</v>
      </c>
      <c r="AO12" s="130">
        <v>1</v>
      </c>
      <c r="AP12" s="130">
        <v>1</v>
      </c>
      <c r="AQ12" s="130">
        <v>1</v>
      </c>
      <c r="AR12" s="130">
        <v>1</v>
      </c>
      <c r="AS12" s="130">
        <v>1</v>
      </c>
      <c r="AT12" s="130">
        <v>1</v>
      </c>
      <c r="AU12" s="130">
        <v>1</v>
      </c>
      <c r="AV12" s="130">
        <v>1</v>
      </c>
      <c r="AW12" s="130">
        <v>1</v>
      </c>
      <c r="AX12" s="130">
        <v>1</v>
      </c>
      <c r="AY12" s="130">
        <v>1</v>
      </c>
    </row>
    <row r="13" spans="1:51" ht="15.75" thickBot="1" x14ac:dyDescent="0.3">
      <c r="A13" s="490"/>
      <c r="B13" s="109"/>
      <c r="C13" s="86" t="s">
        <v>289</v>
      </c>
      <c r="D13" s="110"/>
      <c r="E13" s="111">
        <v>1.5</v>
      </c>
      <c r="F13" s="112">
        <v>12</v>
      </c>
      <c r="G13" s="112">
        <v>120</v>
      </c>
      <c r="H13" s="112">
        <v>1</v>
      </c>
      <c r="I13" s="129">
        <f t="shared" si="15"/>
        <v>1440</v>
      </c>
      <c r="J13" s="114">
        <f t="shared" si="2"/>
        <v>0</v>
      </c>
      <c r="N13" s="86" t="s">
        <v>290</v>
      </c>
      <c r="O13" s="86">
        <v>6800</v>
      </c>
      <c r="P13" s="115">
        <f t="shared" si="7"/>
        <v>0.18</v>
      </c>
      <c r="Q13" s="116">
        <f t="shared" si="8"/>
        <v>0</v>
      </c>
      <c r="R13" s="115">
        <f>$O$98</f>
        <v>0.3</v>
      </c>
      <c r="S13" s="117" t="s">
        <v>291</v>
      </c>
      <c r="T13" s="86">
        <v>7</v>
      </c>
      <c r="U13" s="116">
        <f t="shared" si="9"/>
        <v>0</v>
      </c>
      <c r="V13" s="118">
        <f t="shared" si="10"/>
        <v>0</v>
      </c>
      <c r="W13" s="119" t="e">
        <f t="shared" si="16"/>
        <v>#DIV/0!</v>
      </c>
      <c r="Y13" s="102">
        <f t="shared" ref="Y13:Y18" si="17">$O$96</f>
        <v>251</v>
      </c>
      <c r="Z13">
        <f t="shared" si="3"/>
        <v>0</v>
      </c>
      <c r="AA13" s="86" t="str">
        <f t="shared" si="0"/>
        <v>Mobile Heated Cabinet 1</v>
      </c>
      <c r="AB13" s="86"/>
      <c r="AC13" s="86"/>
      <c r="AD13" s="86"/>
      <c r="AE13" s="86"/>
      <c r="AF13" s="86"/>
      <c r="AG13" s="86"/>
      <c r="AH13" s="86"/>
      <c r="AI13" s="107">
        <f>0.5*$P$13</f>
        <v>0.09</v>
      </c>
      <c r="AJ13" s="107">
        <f>$P$13</f>
        <v>0.18</v>
      </c>
      <c r="AK13" s="107">
        <f>$P$13</f>
        <v>0.18</v>
      </c>
      <c r="AL13" s="107">
        <f>$P$13</f>
        <v>0.18</v>
      </c>
      <c r="AM13" s="108">
        <v>0.5</v>
      </c>
      <c r="AN13" s="108">
        <v>1</v>
      </c>
      <c r="AO13" s="108">
        <v>1</v>
      </c>
      <c r="AP13" s="108">
        <v>1</v>
      </c>
      <c r="AQ13" s="86"/>
      <c r="AR13" s="86"/>
      <c r="AS13" s="86"/>
      <c r="AT13" s="86"/>
      <c r="AU13" s="86"/>
      <c r="AV13" s="86"/>
      <c r="AW13" s="86"/>
      <c r="AX13" s="86"/>
      <c r="AY13" s="86"/>
    </row>
    <row r="14" spans="1:51" ht="16.899999999999999" customHeight="1" thickBot="1" x14ac:dyDescent="0.3">
      <c r="A14" s="490"/>
      <c r="B14" s="109"/>
      <c r="C14" s="86" t="s">
        <v>295</v>
      </c>
      <c r="D14" s="110"/>
      <c r="E14" s="131"/>
      <c r="F14" s="132">
        <v>7</v>
      </c>
      <c r="G14" s="112">
        <v>120</v>
      </c>
      <c r="H14" s="112">
        <v>1</v>
      </c>
      <c r="I14" s="129">
        <f t="shared" ref="I14:I24" si="18">IF(E14="",F14*G14*SQRT(H14),E14*1000)</f>
        <v>840</v>
      </c>
      <c r="J14" s="133">
        <f t="shared" si="2"/>
        <v>0</v>
      </c>
      <c r="N14" s="86" t="s">
        <v>264</v>
      </c>
      <c r="O14" s="86" t="s">
        <v>264</v>
      </c>
      <c r="P14" s="115">
        <f t="shared" si="7"/>
        <v>1</v>
      </c>
      <c r="Q14" s="116">
        <f t="shared" si="8"/>
        <v>0</v>
      </c>
      <c r="R14" s="115">
        <f t="shared" ref="R14:R27" si="19">$O$97</f>
        <v>1</v>
      </c>
      <c r="S14" s="134" t="s">
        <v>296</v>
      </c>
      <c r="T14" s="86">
        <v>2</v>
      </c>
      <c r="U14" s="116">
        <f t="shared" si="9"/>
        <v>0</v>
      </c>
      <c r="V14" s="118">
        <f t="shared" si="10"/>
        <v>0</v>
      </c>
      <c r="W14" s="119" t="e">
        <f t="shared" si="16"/>
        <v>#DIV/0!</v>
      </c>
      <c r="Y14" s="102">
        <f t="shared" si="17"/>
        <v>251</v>
      </c>
      <c r="Z14">
        <f t="shared" si="3"/>
        <v>0</v>
      </c>
      <c r="AA14" s="86" t="str">
        <f t="shared" si="0"/>
        <v>Cook's Table w/ Sink</v>
      </c>
      <c r="AB14" s="86"/>
      <c r="AC14" s="86"/>
      <c r="AD14" s="86"/>
      <c r="AE14" s="86"/>
      <c r="AF14" s="86"/>
      <c r="AG14" s="86"/>
      <c r="AH14" s="86"/>
      <c r="AI14" s="86"/>
      <c r="AJ14" s="86"/>
      <c r="AK14" s="107">
        <f>$P$14</f>
        <v>1</v>
      </c>
      <c r="AL14" s="107">
        <f>$P$14</f>
        <v>1</v>
      </c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</row>
    <row r="15" spans="1:51" ht="16.899999999999999" customHeight="1" thickBot="1" x14ac:dyDescent="0.3">
      <c r="A15" s="490"/>
      <c r="B15" s="109"/>
      <c r="C15" s="86" t="s">
        <v>297</v>
      </c>
      <c r="D15" s="110"/>
      <c r="E15" s="131"/>
      <c r="F15" s="132">
        <v>7</v>
      </c>
      <c r="G15" s="112">
        <v>120</v>
      </c>
      <c r="H15" s="112">
        <v>1</v>
      </c>
      <c r="I15" s="129">
        <f t="shared" si="18"/>
        <v>840</v>
      </c>
      <c r="J15" s="133">
        <f t="shared" si="2"/>
        <v>0</v>
      </c>
      <c r="N15" s="86" t="s">
        <v>264</v>
      </c>
      <c r="O15" s="86" t="s">
        <v>264</v>
      </c>
      <c r="P15" s="115">
        <f t="shared" si="7"/>
        <v>1</v>
      </c>
      <c r="Q15" s="116">
        <f t="shared" si="8"/>
        <v>0</v>
      </c>
      <c r="R15" s="115">
        <f t="shared" si="19"/>
        <v>1</v>
      </c>
      <c r="S15" s="134" t="s">
        <v>296</v>
      </c>
      <c r="T15" s="86">
        <v>2</v>
      </c>
      <c r="U15" s="116">
        <f t="shared" si="9"/>
        <v>0</v>
      </c>
      <c r="V15" s="118">
        <f t="shared" si="10"/>
        <v>0</v>
      </c>
      <c r="W15" s="119" t="e">
        <f t="shared" si="16"/>
        <v>#DIV/0!</v>
      </c>
      <c r="Y15" s="102">
        <f t="shared" si="17"/>
        <v>251</v>
      </c>
      <c r="Z15">
        <f t="shared" si="3"/>
        <v>0</v>
      </c>
      <c r="AA15" s="86" t="str">
        <f t="shared" si="0"/>
        <v>Work Table 1</v>
      </c>
      <c r="AB15" s="86"/>
      <c r="AC15" s="86"/>
      <c r="AD15" s="86"/>
      <c r="AE15" s="86"/>
      <c r="AF15" s="86"/>
      <c r="AG15" s="86"/>
      <c r="AH15" s="86"/>
      <c r="AI15" s="86"/>
      <c r="AJ15" s="86"/>
      <c r="AK15" s="107" t="e">
        <f>#REF!</f>
        <v>#REF!</v>
      </c>
      <c r="AL15" s="107" t="e">
        <f>#REF!</f>
        <v>#REF!</v>
      </c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</row>
    <row r="16" spans="1:51" ht="15.75" thickBot="1" x14ac:dyDescent="0.3">
      <c r="A16" s="490"/>
      <c r="B16" s="109"/>
      <c r="C16" s="86" t="s">
        <v>301</v>
      </c>
      <c r="D16" s="110"/>
      <c r="E16" s="111"/>
      <c r="F16" s="112">
        <v>1.2</v>
      </c>
      <c r="G16" s="112">
        <v>120</v>
      </c>
      <c r="H16" s="112">
        <v>1</v>
      </c>
      <c r="I16" s="129">
        <f t="shared" si="18"/>
        <v>144</v>
      </c>
      <c r="J16" s="114">
        <f t="shared" si="2"/>
        <v>0</v>
      </c>
      <c r="N16" s="86" t="s">
        <v>264</v>
      </c>
      <c r="O16" s="86" t="s">
        <v>264</v>
      </c>
      <c r="P16" s="115">
        <f t="shared" si="7"/>
        <v>1</v>
      </c>
      <c r="Q16" s="116">
        <f t="shared" si="8"/>
        <v>0</v>
      </c>
      <c r="R16" s="115">
        <f t="shared" si="19"/>
        <v>1</v>
      </c>
      <c r="S16" s="117" t="s">
        <v>291</v>
      </c>
      <c r="T16" s="86">
        <v>7</v>
      </c>
      <c r="U16" s="116">
        <f t="shared" si="9"/>
        <v>0</v>
      </c>
      <c r="V16" s="118">
        <f t="shared" si="10"/>
        <v>0</v>
      </c>
      <c r="W16" s="119" t="e">
        <f t="shared" si="16"/>
        <v>#DIV/0!</v>
      </c>
      <c r="Y16" s="102">
        <f t="shared" si="17"/>
        <v>251</v>
      </c>
      <c r="Z16">
        <f t="shared" si="3"/>
        <v>0</v>
      </c>
      <c r="AA16" s="86" t="str">
        <f t="shared" si="0"/>
        <v>Can Opener</v>
      </c>
      <c r="AB16" s="86"/>
      <c r="AC16" s="86"/>
      <c r="AD16" s="86"/>
      <c r="AE16" s="86"/>
      <c r="AF16" s="86"/>
      <c r="AG16" s="86"/>
      <c r="AH16" s="86"/>
      <c r="AI16" s="86"/>
      <c r="AJ16" s="86"/>
      <c r="AK16" s="107">
        <f>$P$16</f>
        <v>1</v>
      </c>
      <c r="AL16" s="107">
        <f>$P$16</f>
        <v>1</v>
      </c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</row>
    <row r="17" spans="1:51" ht="15.75" thickBot="1" x14ac:dyDescent="0.3">
      <c r="A17" s="490"/>
      <c r="B17" s="109"/>
      <c r="C17" s="86" t="s">
        <v>302</v>
      </c>
      <c r="D17" s="110"/>
      <c r="E17" s="111"/>
      <c r="F17" s="112">
        <v>6</v>
      </c>
      <c r="G17" s="112">
        <v>120</v>
      </c>
      <c r="H17" s="112">
        <v>1</v>
      </c>
      <c r="I17" s="129">
        <f t="shared" si="18"/>
        <v>720</v>
      </c>
      <c r="J17" s="114">
        <f t="shared" si="2"/>
        <v>0</v>
      </c>
      <c r="N17" s="86" t="s">
        <v>264</v>
      </c>
      <c r="O17" s="86" t="s">
        <v>264</v>
      </c>
      <c r="P17" s="115">
        <f t="shared" si="7"/>
        <v>1</v>
      </c>
      <c r="Q17" s="116">
        <f t="shared" si="8"/>
        <v>0</v>
      </c>
      <c r="R17" s="115">
        <f t="shared" si="19"/>
        <v>1</v>
      </c>
      <c r="S17" s="117" t="s">
        <v>291</v>
      </c>
      <c r="T17" s="86">
        <v>7</v>
      </c>
      <c r="U17" s="116">
        <f t="shared" si="9"/>
        <v>0</v>
      </c>
      <c r="V17" s="118">
        <f t="shared" si="10"/>
        <v>0</v>
      </c>
      <c r="W17" s="119" t="e">
        <f t="shared" si="16"/>
        <v>#DIV/0!</v>
      </c>
      <c r="Y17" s="102">
        <f t="shared" si="17"/>
        <v>251</v>
      </c>
      <c r="Z17">
        <f t="shared" si="3"/>
        <v>0</v>
      </c>
      <c r="AA17" s="86" t="str">
        <f t="shared" si="0"/>
        <v>Food Processor</v>
      </c>
      <c r="AB17" s="86"/>
      <c r="AC17" s="86"/>
      <c r="AD17" s="86"/>
      <c r="AE17" s="86"/>
      <c r="AF17" s="86"/>
      <c r="AG17" s="86"/>
      <c r="AH17" s="86"/>
      <c r="AI17" s="86"/>
      <c r="AJ17" s="86"/>
      <c r="AK17" s="107">
        <f>$P$17</f>
        <v>1</v>
      </c>
      <c r="AL17" s="107">
        <f>$P$17</f>
        <v>1</v>
      </c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</row>
    <row r="18" spans="1:51" ht="15" customHeight="1" thickBot="1" x14ac:dyDescent="0.3">
      <c r="A18" s="491"/>
      <c r="B18" s="135"/>
      <c r="C18" s="136" t="s">
        <v>303</v>
      </c>
      <c r="D18" s="137"/>
      <c r="E18" s="138"/>
      <c r="F18" s="139">
        <v>6</v>
      </c>
      <c r="G18" s="139">
        <v>120</v>
      </c>
      <c r="H18" s="139">
        <v>1</v>
      </c>
      <c r="I18" s="140">
        <f t="shared" si="18"/>
        <v>720</v>
      </c>
      <c r="J18" s="141">
        <f t="shared" si="2"/>
        <v>0</v>
      </c>
      <c r="N18" s="136" t="s">
        <v>264</v>
      </c>
      <c r="O18" s="136" t="s">
        <v>264</v>
      </c>
      <c r="P18" s="142">
        <f t="shared" si="7"/>
        <v>1</v>
      </c>
      <c r="Q18" s="143">
        <f t="shared" si="8"/>
        <v>0</v>
      </c>
      <c r="R18" s="142">
        <f t="shared" si="19"/>
        <v>1</v>
      </c>
      <c r="S18" s="144" t="s">
        <v>291</v>
      </c>
      <c r="T18" s="136">
        <v>7</v>
      </c>
      <c r="U18" s="143">
        <f t="shared" si="9"/>
        <v>0</v>
      </c>
      <c r="V18" s="145">
        <f t="shared" si="10"/>
        <v>0</v>
      </c>
      <c r="W18" s="146" t="e">
        <f t="shared" si="16"/>
        <v>#DIV/0!</v>
      </c>
      <c r="Y18" s="102">
        <f t="shared" si="17"/>
        <v>251</v>
      </c>
      <c r="Z18">
        <f t="shared" si="3"/>
        <v>0</v>
      </c>
      <c r="AA18" s="86" t="str">
        <f t="shared" si="0"/>
        <v>Slicer</v>
      </c>
      <c r="AB18" s="86"/>
      <c r="AC18" s="86"/>
      <c r="AD18" s="86"/>
      <c r="AE18" s="86"/>
      <c r="AF18" s="86"/>
      <c r="AG18" s="86"/>
      <c r="AH18" s="86"/>
      <c r="AI18" s="86"/>
      <c r="AJ18" s="86"/>
      <c r="AK18" s="107">
        <f>$P$18</f>
        <v>1</v>
      </c>
      <c r="AL18" s="107">
        <f>$P$18</f>
        <v>1</v>
      </c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</row>
    <row r="19" spans="1:51" ht="15.75" thickBot="1" x14ac:dyDescent="0.3">
      <c r="A19" s="488" t="s">
        <v>304</v>
      </c>
      <c r="B19" s="94"/>
      <c r="C19" s="95" t="s">
        <v>305</v>
      </c>
      <c r="D19" s="96"/>
      <c r="E19" s="97"/>
      <c r="F19" s="98">
        <v>10</v>
      </c>
      <c r="G19" s="98">
        <v>120</v>
      </c>
      <c r="H19" s="98">
        <v>1</v>
      </c>
      <c r="I19" s="99">
        <f t="shared" si="18"/>
        <v>1200</v>
      </c>
      <c r="J19" s="100">
        <f t="shared" si="2"/>
        <v>0</v>
      </c>
      <c r="N19" s="95" t="s">
        <v>279</v>
      </c>
      <c r="O19" s="95">
        <v>2700</v>
      </c>
      <c r="P19" s="101">
        <f t="shared" si="7"/>
        <v>0.41</v>
      </c>
      <c r="Q19" s="102">
        <f t="shared" si="8"/>
        <v>0</v>
      </c>
      <c r="R19" s="101">
        <f t="shared" si="19"/>
        <v>1</v>
      </c>
      <c r="S19" s="103" t="s">
        <v>280</v>
      </c>
      <c r="T19" s="95">
        <v>24</v>
      </c>
      <c r="U19" s="102">
        <f t="shared" si="9"/>
        <v>0</v>
      </c>
      <c r="V19" s="104">
        <f t="shared" si="10"/>
        <v>0</v>
      </c>
      <c r="W19" s="105" t="e">
        <f t="shared" si="16"/>
        <v>#DIV/0!</v>
      </c>
      <c r="Y19" s="102">
        <v>365</v>
      </c>
      <c r="Z19">
        <f t="shared" si="3"/>
        <v>1</v>
      </c>
      <c r="AA19" s="86" t="str">
        <f t="shared" si="0"/>
        <v>Walk-In Freezer (-10F)</v>
      </c>
      <c r="AB19" s="107">
        <f>$P$19</f>
        <v>0.41</v>
      </c>
      <c r="AC19" s="107">
        <f>$P$19</f>
        <v>0.41</v>
      </c>
      <c r="AD19" s="107">
        <f>$P$19</f>
        <v>0.41</v>
      </c>
      <c r="AE19" s="147">
        <v>1</v>
      </c>
      <c r="AF19" s="107">
        <f>$P$19</f>
        <v>0.41</v>
      </c>
      <c r="AG19" s="107">
        <f>$P$19</f>
        <v>0.41</v>
      </c>
      <c r="AH19" s="107">
        <f>$P$19</f>
        <v>0.41</v>
      </c>
      <c r="AI19" s="147">
        <v>1</v>
      </c>
      <c r="AJ19" s="107">
        <f>$P$19</f>
        <v>0.41</v>
      </c>
      <c r="AK19" s="107">
        <f>$P$19</f>
        <v>0.41</v>
      </c>
      <c r="AL19" s="107">
        <f>$P$19</f>
        <v>0.41</v>
      </c>
      <c r="AM19" s="147">
        <v>1</v>
      </c>
      <c r="AN19" s="107">
        <f>$P$19</f>
        <v>0.41</v>
      </c>
      <c r="AO19" s="107">
        <f>$P$19</f>
        <v>0.41</v>
      </c>
      <c r="AP19" s="107">
        <f>$P$19</f>
        <v>0.41</v>
      </c>
      <c r="AQ19" s="147">
        <v>1</v>
      </c>
      <c r="AR19" s="107">
        <f t="shared" ref="AR19:AY19" si="20">$P$19</f>
        <v>0.41</v>
      </c>
      <c r="AS19" s="107">
        <f t="shared" si="20"/>
        <v>0.41</v>
      </c>
      <c r="AT19" s="107">
        <f t="shared" si="20"/>
        <v>0.41</v>
      </c>
      <c r="AU19" s="107">
        <f t="shared" si="20"/>
        <v>0.41</v>
      </c>
      <c r="AV19" s="107">
        <f t="shared" si="20"/>
        <v>0.41</v>
      </c>
      <c r="AW19" s="107">
        <f t="shared" si="20"/>
        <v>0.41</v>
      </c>
      <c r="AX19" s="107">
        <f t="shared" si="20"/>
        <v>0.41</v>
      </c>
      <c r="AY19" s="107">
        <f t="shared" si="20"/>
        <v>0.41</v>
      </c>
    </row>
    <row r="20" spans="1:51" ht="18.600000000000001" customHeight="1" thickBot="1" x14ac:dyDescent="0.3">
      <c r="A20" s="490"/>
      <c r="B20" s="109"/>
      <c r="C20" s="86" t="s">
        <v>306</v>
      </c>
      <c r="D20" s="110"/>
      <c r="E20" s="111"/>
      <c r="F20" s="112">
        <v>11.9</v>
      </c>
      <c r="G20" s="112">
        <v>208</v>
      </c>
      <c r="H20" s="112">
        <v>1</v>
      </c>
      <c r="I20" s="129">
        <f t="shared" si="18"/>
        <v>2475.2000000000003</v>
      </c>
      <c r="J20" s="114">
        <f t="shared" si="2"/>
        <v>0</v>
      </c>
      <c r="N20" s="86" t="s">
        <v>264</v>
      </c>
      <c r="O20" s="86" t="s">
        <v>264</v>
      </c>
      <c r="P20" s="115">
        <f t="shared" si="7"/>
        <v>1</v>
      </c>
      <c r="Q20" s="116">
        <f t="shared" si="8"/>
        <v>0</v>
      </c>
      <c r="R20" s="115">
        <f t="shared" si="19"/>
        <v>1</v>
      </c>
      <c r="S20" s="134" t="s">
        <v>307</v>
      </c>
      <c r="T20" s="86">
        <v>1.5</v>
      </c>
      <c r="U20" s="116">
        <f t="shared" si="9"/>
        <v>0</v>
      </c>
      <c r="V20" s="118">
        <f t="shared" si="10"/>
        <v>0</v>
      </c>
      <c r="W20" s="119" t="e">
        <f t="shared" si="16"/>
        <v>#DIV/0!</v>
      </c>
      <c r="Y20" s="102">
        <f>$O$96</f>
        <v>251</v>
      </c>
      <c r="Z20">
        <f t="shared" si="3"/>
        <v>0</v>
      </c>
      <c r="AA20" s="86" t="str">
        <f t="shared" si="0"/>
        <v>Blower Coil</v>
      </c>
      <c r="AB20" s="86">
        <v>0.1</v>
      </c>
      <c r="AC20" s="86">
        <v>0.1</v>
      </c>
      <c r="AD20" s="86">
        <v>0.1</v>
      </c>
      <c r="AE20" s="86">
        <v>0.1</v>
      </c>
      <c r="AF20" s="86">
        <v>0.1</v>
      </c>
      <c r="AG20" s="86">
        <v>0.1</v>
      </c>
      <c r="AH20" s="86">
        <v>0.1</v>
      </c>
      <c r="AI20" s="86">
        <v>0.1</v>
      </c>
      <c r="AJ20" s="86">
        <v>0.1</v>
      </c>
      <c r="AK20" s="148">
        <f>$P$20</f>
        <v>1</v>
      </c>
      <c r="AL20" s="148">
        <f>$P$20</f>
        <v>1</v>
      </c>
      <c r="AM20" s="86">
        <v>0.1</v>
      </c>
      <c r="AN20" s="86">
        <v>0.1</v>
      </c>
      <c r="AO20" s="86">
        <v>0.1</v>
      </c>
      <c r="AP20" s="86">
        <v>0.1</v>
      </c>
      <c r="AQ20" s="86">
        <v>0.1</v>
      </c>
      <c r="AR20" s="86">
        <v>0.1</v>
      </c>
      <c r="AS20" s="86">
        <v>0.1</v>
      </c>
      <c r="AT20" s="86">
        <v>0.1</v>
      </c>
      <c r="AU20" s="86">
        <v>0.1</v>
      </c>
      <c r="AV20" s="86">
        <v>0.1</v>
      </c>
      <c r="AW20" s="86">
        <v>0.1</v>
      </c>
      <c r="AX20" s="86">
        <v>0.1</v>
      </c>
      <c r="AY20" s="86"/>
    </row>
    <row r="21" spans="1:51" ht="15.75" thickBot="1" x14ac:dyDescent="0.3">
      <c r="A21" s="490"/>
      <c r="B21" s="109"/>
      <c r="C21" s="86" t="s">
        <v>308</v>
      </c>
      <c r="D21" s="110"/>
      <c r="E21" s="111"/>
      <c r="F21" s="112">
        <v>15</v>
      </c>
      <c r="G21" s="112">
        <v>120</v>
      </c>
      <c r="H21" s="112">
        <v>1</v>
      </c>
      <c r="I21" s="129">
        <f t="shared" si="18"/>
        <v>1800</v>
      </c>
      <c r="J21" s="114">
        <f t="shared" si="2"/>
        <v>0</v>
      </c>
      <c r="N21" s="86" t="s">
        <v>264</v>
      </c>
      <c r="O21" s="86" t="s">
        <v>264</v>
      </c>
      <c r="P21" s="115">
        <f t="shared" si="7"/>
        <v>1</v>
      </c>
      <c r="Q21" s="116">
        <f t="shared" si="8"/>
        <v>0</v>
      </c>
      <c r="R21" s="115">
        <f t="shared" si="19"/>
        <v>1</v>
      </c>
      <c r="S21" s="117" t="s">
        <v>280</v>
      </c>
      <c r="T21" s="86">
        <v>24</v>
      </c>
      <c r="U21" s="116">
        <f t="shared" si="9"/>
        <v>0</v>
      </c>
      <c r="V21" s="118">
        <f t="shared" si="10"/>
        <v>0</v>
      </c>
      <c r="W21" s="119" t="e">
        <f t="shared" si="16"/>
        <v>#DIV/0!</v>
      </c>
      <c r="Y21" s="102">
        <f>$O$96</f>
        <v>251</v>
      </c>
      <c r="Z21">
        <f t="shared" si="3"/>
        <v>0</v>
      </c>
      <c r="AA21" s="86" t="str">
        <f t="shared" si="0"/>
        <v>Flip-Flop Controller</v>
      </c>
      <c r="AB21" s="148">
        <f t="shared" ref="AB21:AY21" si="21">$P$21</f>
        <v>1</v>
      </c>
      <c r="AC21" s="148">
        <f t="shared" si="21"/>
        <v>1</v>
      </c>
      <c r="AD21" s="148">
        <f t="shared" si="21"/>
        <v>1</v>
      </c>
      <c r="AE21" s="148">
        <f t="shared" si="21"/>
        <v>1</v>
      </c>
      <c r="AF21" s="148">
        <f t="shared" si="21"/>
        <v>1</v>
      </c>
      <c r="AG21" s="148">
        <f t="shared" si="21"/>
        <v>1</v>
      </c>
      <c r="AH21" s="148">
        <f t="shared" si="21"/>
        <v>1</v>
      </c>
      <c r="AI21" s="148">
        <f t="shared" si="21"/>
        <v>1</v>
      </c>
      <c r="AJ21" s="148">
        <f t="shared" si="21"/>
        <v>1</v>
      </c>
      <c r="AK21" s="148">
        <f t="shared" si="21"/>
        <v>1</v>
      </c>
      <c r="AL21" s="148">
        <f t="shared" si="21"/>
        <v>1</v>
      </c>
      <c r="AM21" s="148">
        <f t="shared" si="21"/>
        <v>1</v>
      </c>
      <c r="AN21" s="148">
        <f t="shared" si="21"/>
        <v>1</v>
      </c>
      <c r="AO21" s="148">
        <f t="shared" si="21"/>
        <v>1</v>
      </c>
      <c r="AP21" s="148">
        <f t="shared" si="21"/>
        <v>1</v>
      </c>
      <c r="AQ21" s="148">
        <f t="shared" si="21"/>
        <v>1</v>
      </c>
      <c r="AR21" s="148">
        <f t="shared" si="21"/>
        <v>1</v>
      </c>
      <c r="AS21" s="148">
        <f t="shared" si="21"/>
        <v>1</v>
      </c>
      <c r="AT21" s="148">
        <f t="shared" si="21"/>
        <v>1</v>
      </c>
      <c r="AU21" s="148">
        <f t="shared" si="21"/>
        <v>1</v>
      </c>
      <c r="AV21" s="148">
        <f t="shared" si="21"/>
        <v>1</v>
      </c>
      <c r="AW21" s="148">
        <f t="shared" si="21"/>
        <v>1</v>
      </c>
      <c r="AX21" s="148">
        <f t="shared" si="21"/>
        <v>1</v>
      </c>
      <c r="AY21" s="148">
        <f t="shared" si="21"/>
        <v>1</v>
      </c>
    </row>
    <row r="22" spans="1:51" ht="15.75" thickBot="1" x14ac:dyDescent="0.3">
      <c r="A22" s="490"/>
      <c r="B22" s="109"/>
      <c r="C22" s="86" t="s">
        <v>309</v>
      </c>
      <c r="D22" s="110"/>
      <c r="E22" s="111"/>
      <c r="F22" s="112">
        <v>10</v>
      </c>
      <c r="G22" s="112">
        <v>120</v>
      </c>
      <c r="H22" s="112">
        <v>1</v>
      </c>
      <c r="I22" s="129">
        <f t="shared" si="18"/>
        <v>1200</v>
      </c>
      <c r="J22" s="114">
        <f t="shared" si="2"/>
        <v>0</v>
      </c>
      <c r="N22" s="86" t="s">
        <v>285</v>
      </c>
      <c r="O22" s="86">
        <v>4800</v>
      </c>
      <c r="P22" s="115">
        <f t="shared" si="7"/>
        <v>0.25</v>
      </c>
      <c r="Q22" s="116">
        <f t="shared" si="8"/>
        <v>0</v>
      </c>
      <c r="R22" s="115">
        <f t="shared" si="19"/>
        <v>1</v>
      </c>
      <c r="S22" s="117" t="s">
        <v>280</v>
      </c>
      <c r="T22" s="86">
        <v>24</v>
      </c>
      <c r="U22" s="116">
        <f t="shared" si="9"/>
        <v>0</v>
      </c>
      <c r="V22" s="118">
        <f t="shared" si="10"/>
        <v>0</v>
      </c>
      <c r="W22" s="119" t="e">
        <f t="shared" si="16"/>
        <v>#DIV/0!</v>
      </c>
      <c r="Y22" s="102">
        <v>365</v>
      </c>
      <c r="Z22">
        <f t="shared" si="3"/>
        <v>1</v>
      </c>
      <c r="AA22" s="86" t="str">
        <f t="shared" si="0"/>
        <v>Walk-In Refrigerator (+35F)</v>
      </c>
      <c r="AB22" s="107">
        <f t="shared" ref="AB22:AJ22" si="22">$P$22</f>
        <v>0.25</v>
      </c>
      <c r="AC22" s="107">
        <f t="shared" si="22"/>
        <v>0.25</v>
      </c>
      <c r="AD22" s="107">
        <f t="shared" si="22"/>
        <v>0.25</v>
      </c>
      <c r="AE22" s="107">
        <f t="shared" si="22"/>
        <v>0.25</v>
      </c>
      <c r="AF22" s="107">
        <f t="shared" si="22"/>
        <v>0.25</v>
      </c>
      <c r="AG22" s="107">
        <f t="shared" si="22"/>
        <v>0.25</v>
      </c>
      <c r="AH22" s="107">
        <f t="shared" si="22"/>
        <v>0.25</v>
      </c>
      <c r="AI22" s="107">
        <f t="shared" si="22"/>
        <v>0.25</v>
      </c>
      <c r="AJ22" s="107">
        <f t="shared" si="22"/>
        <v>0.25</v>
      </c>
      <c r="AK22" s="147">
        <v>1</v>
      </c>
      <c r="AL22" s="147">
        <v>1</v>
      </c>
      <c r="AM22" s="147">
        <v>1</v>
      </c>
      <c r="AN22" s="147">
        <v>1</v>
      </c>
      <c r="AO22" s="107">
        <f t="shared" ref="AO22:AY22" si="23">$P$22</f>
        <v>0.25</v>
      </c>
      <c r="AP22" s="107">
        <f t="shared" si="23"/>
        <v>0.25</v>
      </c>
      <c r="AQ22" s="107">
        <f t="shared" si="23"/>
        <v>0.25</v>
      </c>
      <c r="AR22" s="107">
        <f t="shared" si="23"/>
        <v>0.25</v>
      </c>
      <c r="AS22" s="107">
        <f t="shared" si="23"/>
        <v>0.25</v>
      </c>
      <c r="AT22" s="107">
        <f t="shared" si="23"/>
        <v>0.25</v>
      </c>
      <c r="AU22" s="107">
        <f t="shared" si="23"/>
        <v>0.25</v>
      </c>
      <c r="AV22" s="107">
        <f t="shared" si="23"/>
        <v>0.25</v>
      </c>
      <c r="AW22" s="107">
        <f t="shared" si="23"/>
        <v>0.25</v>
      </c>
      <c r="AX22" s="107">
        <f t="shared" si="23"/>
        <v>0.25</v>
      </c>
      <c r="AY22" s="107">
        <f t="shared" si="23"/>
        <v>0.25</v>
      </c>
    </row>
    <row r="23" spans="1:51" ht="15.75" thickBot="1" x14ac:dyDescent="0.3">
      <c r="A23" s="490"/>
      <c r="B23" s="109"/>
      <c r="C23" s="86" t="s">
        <v>306</v>
      </c>
      <c r="D23" s="110"/>
      <c r="E23" s="111"/>
      <c r="F23" s="112">
        <v>1.8</v>
      </c>
      <c r="G23" s="112">
        <v>120</v>
      </c>
      <c r="H23" s="112">
        <v>1</v>
      </c>
      <c r="I23" s="129">
        <f t="shared" si="18"/>
        <v>216</v>
      </c>
      <c r="J23" s="114">
        <f t="shared" si="2"/>
        <v>0</v>
      </c>
      <c r="N23" s="86" t="s">
        <v>264</v>
      </c>
      <c r="O23" s="86" t="s">
        <v>264</v>
      </c>
      <c r="P23" s="115">
        <f t="shared" si="7"/>
        <v>1</v>
      </c>
      <c r="Q23" s="116">
        <f t="shared" si="8"/>
        <v>0</v>
      </c>
      <c r="R23" s="115">
        <f t="shared" si="19"/>
        <v>1</v>
      </c>
      <c r="S23" s="117" t="s">
        <v>280</v>
      </c>
      <c r="T23" s="86">
        <v>22.5</v>
      </c>
      <c r="U23" s="116">
        <f t="shared" si="9"/>
        <v>0</v>
      </c>
      <c r="V23" s="118">
        <f t="shared" si="10"/>
        <v>0</v>
      </c>
      <c r="W23" s="119" t="e">
        <f t="shared" si="16"/>
        <v>#DIV/0!</v>
      </c>
      <c r="Y23" s="102">
        <v>365</v>
      </c>
      <c r="Z23">
        <f t="shared" si="3"/>
        <v>1</v>
      </c>
      <c r="AA23" s="86" t="str">
        <f t="shared" si="0"/>
        <v>Blower Coil</v>
      </c>
      <c r="AB23" s="86"/>
      <c r="AC23" s="107">
        <f>$P$23*0.5</f>
        <v>0.5</v>
      </c>
      <c r="AD23" s="107">
        <f t="shared" ref="AD23:AY23" si="24">$P$23</f>
        <v>1</v>
      </c>
      <c r="AE23" s="107">
        <f t="shared" si="24"/>
        <v>1</v>
      </c>
      <c r="AF23" s="107">
        <f t="shared" si="24"/>
        <v>1</v>
      </c>
      <c r="AG23" s="107">
        <f t="shared" si="24"/>
        <v>1</v>
      </c>
      <c r="AH23" s="107">
        <f t="shared" si="24"/>
        <v>1</v>
      </c>
      <c r="AI23" s="107">
        <f t="shared" si="24"/>
        <v>1</v>
      </c>
      <c r="AJ23" s="107">
        <f t="shared" si="24"/>
        <v>1</v>
      </c>
      <c r="AK23" s="107">
        <f t="shared" si="24"/>
        <v>1</v>
      </c>
      <c r="AL23" s="107">
        <f t="shared" si="24"/>
        <v>1</v>
      </c>
      <c r="AM23" s="107">
        <f t="shared" si="24"/>
        <v>1</v>
      </c>
      <c r="AN23" s="107">
        <f t="shared" si="24"/>
        <v>1</v>
      </c>
      <c r="AO23" s="107">
        <f t="shared" si="24"/>
        <v>1</v>
      </c>
      <c r="AP23" s="107">
        <f t="shared" si="24"/>
        <v>1</v>
      </c>
      <c r="AQ23" s="107">
        <f t="shared" si="24"/>
        <v>1</v>
      </c>
      <c r="AR23" s="107">
        <f t="shared" si="24"/>
        <v>1</v>
      </c>
      <c r="AS23" s="107">
        <f t="shared" si="24"/>
        <v>1</v>
      </c>
      <c r="AT23" s="107">
        <f t="shared" si="24"/>
        <v>1</v>
      </c>
      <c r="AU23" s="107">
        <f t="shared" si="24"/>
        <v>1</v>
      </c>
      <c r="AV23" s="107">
        <f t="shared" si="24"/>
        <v>1</v>
      </c>
      <c r="AW23" s="107">
        <f t="shared" si="24"/>
        <v>1</v>
      </c>
      <c r="AX23" s="107">
        <f t="shared" si="24"/>
        <v>1</v>
      </c>
      <c r="AY23" s="107">
        <f t="shared" si="24"/>
        <v>1</v>
      </c>
    </row>
    <row r="24" spans="1:51" ht="15.75" thickBot="1" x14ac:dyDescent="0.3">
      <c r="A24" s="491"/>
      <c r="B24" s="135"/>
      <c r="C24" s="136" t="s">
        <v>308</v>
      </c>
      <c r="D24" s="137"/>
      <c r="E24" s="138"/>
      <c r="F24" s="139">
        <v>15</v>
      </c>
      <c r="G24" s="139">
        <v>120</v>
      </c>
      <c r="H24" s="139">
        <v>1</v>
      </c>
      <c r="I24" s="140">
        <f t="shared" si="18"/>
        <v>1800</v>
      </c>
      <c r="J24" s="141">
        <f t="shared" si="2"/>
        <v>0</v>
      </c>
      <c r="N24" s="136" t="s">
        <v>264</v>
      </c>
      <c r="O24" s="136" t="s">
        <v>264</v>
      </c>
      <c r="P24" s="142">
        <f t="shared" si="7"/>
        <v>1</v>
      </c>
      <c r="Q24" s="143">
        <f t="shared" si="8"/>
        <v>0</v>
      </c>
      <c r="R24" s="142">
        <f t="shared" si="19"/>
        <v>1</v>
      </c>
      <c r="S24" s="144" t="s">
        <v>280</v>
      </c>
      <c r="T24" s="136">
        <v>24</v>
      </c>
      <c r="U24" s="143">
        <f t="shared" si="9"/>
        <v>0</v>
      </c>
      <c r="V24" s="145">
        <f t="shared" si="10"/>
        <v>0</v>
      </c>
      <c r="W24" s="146" t="e">
        <f t="shared" si="16"/>
        <v>#DIV/0!</v>
      </c>
      <c r="Y24" s="102">
        <v>365</v>
      </c>
      <c r="Z24">
        <f t="shared" si="3"/>
        <v>1</v>
      </c>
      <c r="AA24" s="86" t="str">
        <f t="shared" si="0"/>
        <v>Flip-Flop Controller</v>
      </c>
      <c r="AB24" s="148">
        <f t="shared" ref="AB24:AJ24" si="25">$P$24</f>
        <v>1</v>
      </c>
      <c r="AC24" s="148">
        <f t="shared" si="25"/>
        <v>1</v>
      </c>
      <c r="AD24" s="148">
        <f t="shared" si="25"/>
        <v>1</v>
      </c>
      <c r="AE24" s="148">
        <f t="shared" si="25"/>
        <v>1</v>
      </c>
      <c r="AF24" s="148">
        <f t="shared" si="25"/>
        <v>1</v>
      </c>
      <c r="AG24" s="148">
        <f t="shared" si="25"/>
        <v>1</v>
      </c>
      <c r="AH24" s="148">
        <f t="shared" si="25"/>
        <v>1</v>
      </c>
      <c r="AI24" s="148">
        <f t="shared" si="25"/>
        <v>1</v>
      </c>
      <c r="AJ24" s="148">
        <f t="shared" si="25"/>
        <v>1</v>
      </c>
      <c r="AK24" s="147">
        <v>1</v>
      </c>
      <c r="AL24" s="147">
        <v>1</v>
      </c>
      <c r="AM24" s="147">
        <v>1</v>
      </c>
      <c r="AN24" s="147">
        <v>1</v>
      </c>
      <c r="AO24" s="148">
        <f t="shared" ref="AO24:AY24" si="26">$P$24</f>
        <v>1</v>
      </c>
      <c r="AP24" s="148">
        <f t="shared" si="26"/>
        <v>1</v>
      </c>
      <c r="AQ24" s="148">
        <f t="shared" si="26"/>
        <v>1</v>
      </c>
      <c r="AR24" s="148">
        <f t="shared" si="26"/>
        <v>1</v>
      </c>
      <c r="AS24" s="148">
        <f t="shared" si="26"/>
        <v>1</v>
      </c>
      <c r="AT24" s="148">
        <f t="shared" si="26"/>
        <v>1</v>
      </c>
      <c r="AU24" s="148">
        <f t="shared" si="26"/>
        <v>1</v>
      </c>
      <c r="AV24" s="148">
        <f t="shared" si="26"/>
        <v>1</v>
      </c>
      <c r="AW24" s="148">
        <f t="shared" si="26"/>
        <v>1</v>
      </c>
      <c r="AX24" s="148">
        <f t="shared" si="26"/>
        <v>1</v>
      </c>
      <c r="AY24" s="148">
        <f t="shared" si="26"/>
        <v>1</v>
      </c>
    </row>
    <row r="25" spans="1:51" ht="15.75" thickBot="1" x14ac:dyDescent="0.3">
      <c r="A25" s="149" t="s">
        <v>310</v>
      </c>
      <c r="B25" s="150"/>
      <c r="C25" s="151" t="s">
        <v>311</v>
      </c>
      <c r="D25" s="151"/>
      <c r="E25" s="152"/>
      <c r="F25" s="153">
        <v>0</v>
      </c>
      <c r="G25" s="152">
        <v>208</v>
      </c>
      <c r="H25" s="152">
        <v>3</v>
      </c>
      <c r="I25" s="154">
        <f t="shared" si="15"/>
        <v>0</v>
      </c>
      <c r="J25" s="155">
        <f t="shared" si="2"/>
        <v>0</v>
      </c>
      <c r="N25" s="156" t="s">
        <v>285</v>
      </c>
      <c r="O25" s="156">
        <v>4800</v>
      </c>
      <c r="P25" s="157">
        <f t="shared" si="7"/>
        <v>0.25</v>
      </c>
      <c r="Q25" s="158">
        <f t="shared" si="8"/>
        <v>0</v>
      </c>
      <c r="R25" s="157">
        <f t="shared" si="19"/>
        <v>1</v>
      </c>
      <c r="S25" s="159" t="s">
        <v>312</v>
      </c>
      <c r="T25" s="156">
        <v>24</v>
      </c>
      <c r="U25" s="158">
        <f t="shared" si="9"/>
        <v>0</v>
      </c>
      <c r="V25" s="160">
        <f t="shared" si="10"/>
        <v>0</v>
      </c>
      <c r="W25" s="161" t="e">
        <f t="shared" si="16"/>
        <v>#DIV/0!</v>
      </c>
      <c r="Y25" s="102">
        <v>365</v>
      </c>
      <c r="Z25">
        <f t="shared" si="3"/>
        <v>1</v>
      </c>
      <c r="AA25" s="86" t="str">
        <f t="shared" si="0"/>
        <v>Refrigeration Rack System*</v>
      </c>
      <c r="AB25" s="148">
        <f t="shared" ref="AB25:AJ25" si="27">$P$25</f>
        <v>0.25</v>
      </c>
      <c r="AC25" s="148">
        <f t="shared" si="27"/>
        <v>0.25</v>
      </c>
      <c r="AD25" s="148">
        <f t="shared" si="27"/>
        <v>0.25</v>
      </c>
      <c r="AE25" s="148">
        <f t="shared" si="27"/>
        <v>0.25</v>
      </c>
      <c r="AF25" s="148">
        <f t="shared" si="27"/>
        <v>0.25</v>
      </c>
      <c r="AG25" s="148">
        <f t="shared" si="27"/>
        <v>0.25</v>
      </c>
      <c r="AH25" s="148">
        <f t="shared" si="27"/>
        <v>0.25</v>
      </c>
      <c r="AI25" s="148">
        <f t="shared" si="27"/>
        <v>0.25</v>
      </c>
      <c r="AJ25" s="148">
        <f t="shared" si="27"/>
        <v>0.25</v>
      </c>
      <c r="AK25" s="147">
        <v>1</v>
      </c>
      <c r="AL25" s="147">
        <v>1</v>
      </c>
      <c r="AM25" s="147">
        <v>1</v>
      </c>
      <c r="AN25" s="147">
        <v>1</v>
      </c>
      <c r="AO25" s="148">
        <f t="shared" ref="AO25:AY25" si="28">$P$25</f>
        <v>0.25</v>
      </c>
      <c r="AP25" s="148">
        <f t="shared" si="28"/>
        <v>0.25</v>
      </c>
      <c r="AQ25" s="148">
        <f t="shared" si="28"/>
        <v>0.25</v>
      </c>
      <c r="AR25" s="148">
        <f t="shared" si="28"/>
        <v>0.25</v>
      </c>
      <c r="AS25" s="148">
        <f t="shared" si="28"/>
        <v>0.25</v>
      </c>
      <c r="AT25" s="148">
        <f t="shared" si="28"/>
        <v>0.25</v>
      </c>
      <c r="AU25" s="148">
        <f t="shared" si="28"/>
        <v>0.25</v>
      </c>
      <c r="AV25" s="148">
        <f t="shared" si="28"/>
        <v>0.25</v>
      </c>
      <c r="AW25" s="148">
        <f t="shared" si="28"/>
        <v>0.25</v>
      </c>
      <c r="AX25" s="148">
        <f t="shared" si="28"/>
        <v>0.25</v>
      </c>
      <c r="AY25" s="148">
        <f t="shared" si="28"/>
        <v>0.25</v>
      </c>
    </row>
    <row r="26" spans="1:51" ht="15.75" thickBot="1" x14ac:dyDescent="0.3">
      <c r="A26" s="149" t="s">
        <v>313</v>
      </c>
      <c r="B26" s="150"/>
      <c r="C26" s="162" t="s">
        <v>314</v>
      </c>
      <c r="D26" s="150"/>
      <c r="E26" s="163"/>
      <c r="F26" s="164">
        <v>12</v>
      </c>
      <c r="G26" s="164">
        <v>120</v>
      </c>
      <c r="H26" s="164">
        <v>1</v>
      </c>
      <c r="I26" s="165">
        <f t="shared" si="15"/>
        <v>1440</v>
      </c>
      <c r="J26" s="166">
        <f t="shared" si="2"/>
        <v>0</v>
      </c>
      <c r="N26" s="156" t="s">
        <v>315</v>
      </c>
      <c r="O26" s="156">
        <v>6100</v>
      </c>
      <c r="P26" s="157">
        <f t="shared" si="7"/>
        <v>0.49</v>
      </c>
      <c r="Q26" s="158">
        <f t="shared" si="8"/>
        <v>0</v>
      </c>
      <c r="R26" s="157">
        <f t="shared" si="19"/>
        <v>1</v>
      </c>
      <c r="S26" s="167"/>
      <c r="T26" s="156">
        <v>2</v>
      </c>
      <c r="U26" s="158">
        <f t="shared" si="9"/>
        <v>0</v>
      </c>
      <c r="V26" s="160">
        <f t="shared" si="10"/>
        <v>0</v>
      </c>
      <c r="W26" s="161" t="e">
        <f t="shared" si="16"/>
        <v>#DIV/0!</v>
      </c>
      <c r="Y26" s="102">
        <f>$O$96</f>
        <v>251</v>
      </c>
      <c r="Z26">
        <f t="shared" si="3"/>
        <v>0</v>
      </c>
      <c r="AA26" s="86" t="str">
        <f t="shared" si="0"/>
        <v>Power Wash Station</v>
      </c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168">
        <f>0.01*P26</f>
        <v>4.8999999999999998E-3</v>
      </c>
      <c r="AP26" s="86"/>
      <c r="AQ26" s="86"/>
      <c r="AR26" s="86"/>
      <c r="AS26" s="86"/>
      <c r="AT26" s="86"/>
      <c r="AU26" s="86"/>
      <c r="AV26" s="86"/>
      <c r="AW26" s="86"/>
      <c r="AX26" s="86"/>
      <c r="AY26" s="86"/>
    </row>
    <row r="27" spans="1:51" ht="15.75" thickBot="1" x14ac:dyDescent="0.3">
      <c r="A27" s="169" t="s">
        <v>316</v>
      </c>
      <c r="B27" s="150"/>
      <c r="C27" s="162" t="s">
        <v>317</v>
      </c>
      <c r="D27" s="150"/>
      <c r="E27" s="163"/>
      <c r="F27" s="164">
        <v>10</v>
      </c>
      <c r="G27" s="164">
        <v>120</v>
      </c>
      <c r="H27" s="164">
        <v>1</v>
      </c>
      <c r="I27" s="165">
        <f t="shared" si="15"/>
        <v>1200</v>
      </c>
      <c r="J27" s="166">
        <f t="shared" si="2"/>
        <v>0</v>
      </c>
      <c r="N27" s="156" t="s">
        <v>264</v>
      </c>
      <c r="O27" s="156" t="s">
        <v>264</v>
      </c>
      <c r="P27" s="157">
        <f t="shared" si="7"/>
        <v>1</v>
      </c>
      <c r="Q27" s="158">
        <f t="shared" si="8"/>
        <v>0</v>
      </c>
      <c r="R27" s="157">
        <f t="shared" si="19"/>
        <v>1</v>
      </c>
      <c r="S27" s="159" t="s">
        <v>280</v>
      </c>
      <c r="T27" s="156">
        <v>24</v>
      </c>
      <c r="U27" s="158">
        <f t="shared" si="9"/>
        <v>0</v>
      </c>
      <c r="V27" s="160">
        <f t="shared" si="10"/>
        <v>0</v>
      </c>
      <c r="W27" s="161" t="e">
        <f t="shared" si="16"/>
        <v>#DIV/0!</v>
      </c>
      <c r="Y27" s="102">
        <v>365</v>
      </c>
      <c r="Z27">
        <f t="shared" si="3"/>
        <v>1</v>
      </c>
      <c r="AA27" s="86" t="str">
        <f t="shared" si="0"/>
        <v>Time Card Recorder W/ Card Racks</v>
      </c>
      <c r="AB27" s="148">
        <f t="shared" ref="AB27:AY27" si="29">$P$27</f>
        <v>1</v>
      </c>
      <c r="AC27" s="148">
        <f t="shared" si="29"/>
        <v>1</v>
      </c>
      <c r="AD27" s="148">
        <f t="shared" si="29"/>
        <v>1</v>
      </c>
      <c r="AE27" s="148">
        <f t="shared" si="29"/>
        <v>1</v>
      </c>
      <c r="AF27" s="148">
        <f t="shared" si="29"/>
        <v>1</v>
      </c>
      <c r="AG27" s="148">
        <f t="shared" si="29"/>
        <v>1</v>
      </c>
      <c r="AH27" s="148">
        <f t="shared" si="29"/>
        <v>1</v>
      </c>
      <c r="AI27" s="148">
        <f t="shared" si="29"/>
        <v>1</v>
      </c>
      <c r="AJ27" s="148">
        <f t="shared" si="29"/>
        <v>1</v>
      </c>
      <c r="AK27" s="148">
        <f t="shared" si="29"/>
        <v>1</v>
      </c>
      <c r="AL27" s="148">
        <f t="shared" si="29"/>
        <v>1</v>
      </c>
      <c r="AM27" s="148">
        <f t="shared" si="29"/>
        <v>1</v>
      </c>
      <c r="AN27" s="148">
        <f t="shared" si="29"/>
        <v>1</v>
      </c>
      <c r="AO27" s="148">
        <f t="shared" si="29"/>
        <v>1</v>
      </c>
      <c r="AP27" s="148">
        <f t="shared" si="29"/>
        <v>1</v>
      </c>
      <c r="AQ27" s="148">
        <f t="shared" si="29"/>
        <v>1</v>
      </c>
      <c r="AR27" s="148">
        <f t="shared" si="29"/>
        <v>1</v>
      </c>
      <c r="AS27" s="148">
        <f t="shared" si="29"/>
        <v>1</v>
      </c>
      <c r="AT27" s="148">
        <f t="shared" si="29"/>
        <v>1</v>
      </c>
      <c r="AU27" s="148">
        <f t="shared" si="29"/>
        <v>1</v>
      </c>
      <c r="AV27" s="148">
        <f t="shared" si="29"/>
        <v>1</v>
      </c>
      <c r="AW27" s="148">
        <f t="shared" si="29"/>
        <v>1</v>
      </c>
      <c r="AX27" s="148">
        <f t="shared" si="29"/>
        <v>1</v>
      </c>
      <c r="AY27" s="148">
        <f t="shared" si="29"/>
        <v>1</v>
      </c>
    </row>
    <row r="28" spans="1:51" ht="15" customHeight="1" thickBot="1" x14ac:dyDescent="0.3">
      <c r="A28" s="488" t="s">
        <v>318</v>
      </c>
      <c r="B28" s="94"/>
      <c r="C28" s="95" t="s">
        <v>289</v>
      </c>
      <c r="D28" s="96"/>
      <c r="E28" s="97">
        <v>1.5</v>
      </c>
      <c r="F28" s="98">
        <v>12</v>
      </c>
      <c r="G28" s="98">
        <v>120</v>
      </c>
      <c r="H28" s="98">
        <v>1</v>
      </c>
      <c r="I28" s="271">
        <f t="shared" si="15"/>
        <v>1440</v>
      </c>
      <c r="J28" s="100">
        <f t="shared" si="2"/>
        <v>0</v>
      </c>
      <c r="N28" s="95" t="s">
        <v>290</v>
      </c>
      <c r="O28" s="95">
        <v>6800</v>
      </c>
      <c r="P28" s="101">
        <f t="shared" si="7"/>
        <v>0.18</v>
      </c>
      <c r="Q28" s="102">
        <f t="shared" si="8"/>
        <v>0</v>
      </c>
      <c r="R28" s="101">
        <f>$O$98</f>
        <v>0.3</v>
      </c>
      <c r="S28" s="103" t="s">
        <v>291</v>
      </c>
      <c r="T28" s="95">
        <v>7</v>
      </c>
      <c r="U28" s="102">
        <f t="shared" si="9"/>
        <v>0</v>
      </c>
      <c r="V28" s="104">
        <f t="shared" si="10"/>
        <v>0</v>
      </c>
      <c r="W28" s="105" t="e">
        <f t="shared" si="16"/>
        <v>#DIV/0!</v>
      </c>
      <c r="Y28" s="102">
        <f>$O$96</f>
        <v>251</v>
      </c>
      <c r="Z28">
        <f t="shared" si="3"/>
        <v>0</v>
      </c>
      <c r="AA28" s="86" t="str">
        <f t="shared" si="0"/>
        <v>Mobile Heated Cabinet 1</v>
      </c>
      <c r="AB28" s="86"/>
      <c r="AC28" s="86"/>
      <c r="AD28" s="86"/>
      <c r="AE28" s="86"/>
      <c r="AF28" s="86"/>
      <c r="AG28" s="86"/>
      <c r="AH28" s="86"/>
      <c r="AI28" s="107">
        <f>0.5*$P$28</f>
        <v>0.09</v>
      </c>
      <c r="AJ28" s="107">
        <f t="shared" ref="AJ28:AL28" si="30">$P$28</f>
        <v>0.18</v>
      </c>
      <c r="AK28" s="107">
        <f t="shared" si="30"/>
        <v>0.18</v>
      </c>
      <c r="AL28" s="107">
        <f t="shared" si="30"/>
        <v>0.18</v>
      </c>
      <c r="AM28" s="108">
        <v>0.5</v>
      </c>
      <c r="AN28" s="108">
        <v>1</v>
      </c>
      <c r="AO28" s="108">
        <v>1</v>
      </c>
      <c r="AP28" s="108">
        <v>1</v>
      </c>
      <c r="AQ28" s="86"/>
      <c r="AR28" s="86"/>
      <c r="AS28" s="86"/>
      <c r="AT28" s="86"/>
      <c r="AU28" s="86"/>
      <c r="AV28" s="86"/>
      <c r="AW28" s="86"/>
      <c r="AX28" s="86"/>
      <c r="AY28" s="86"/>
    </row>
    <row r="29" spans="1:51" ht="15" customHeight="1" thickBot="1" x14ac:dyDescent="0.3">
      <c r="A29" s="490"/>
      <c r="B29" s="109"/>
      <c r="C29" s="86" t="s">
        <v>284</v>
      </c>
      <c r="D29" s="110"/>
      <c r="E29" s="111"/>
      <c r="F29" s="112">
        <v>8.1999999999999993</v>
      </c>
      <c r="G29" s="112">
        <v>120</v>
      </c>
      <c r="H29" s="112">
        <v>1</v>
      </c>
      <c r="I29" s="113">
        <f t="shared" si="15"/>
        <v>983.99999999999989</v>
      </c>
      <c r="J29" s="114">
        <f t="shared" si="2"/>
        <v>0</v>
      </c>
      <c r="N29" s="86" t="s">
        <v>285</v>
      </c>
      <c r="O29" s="86">
        <v>4800</v>
      </c>
      <c r="P29" s="115">
        <f t="shared" si="7"/>
        <v>0.25</v>
      </c>
      <c r="Q29" s="116">
        <f t="shared" si="8"/>
        <v>0</v>
      </c>
      <c r="R29" s="115">
        <f>$O$97</f>
        <v>1</v>
      </c>
      <c r="S29" s="117" t="s">
        <v>280</v>
      </c>
      <c r="T29" s="86">
        <v>24</v>
      </c>
      <c r="U29" s="116">
        <f t="shared" si="9"/>
        <v>0</v>
      </c>
      <c r="V29" s="118">
        <f t="shared" si="10"/>
        <v>0</v>
      </c>
      <c r="W29" s="119" t="e">
        <f>V29/$V$2</f>
        <v>#DIV/0!</v>
      </c>
      <c r="X29">
        <f>2.78*365</f>
        <v>1014.6999999999999</v>
      </c>
      <c r="Y29" s="102">
        <v>365</v>
      </c>
      <c r="Z29">
        <f t="shared" si="3"/>
        <v>1</v>
      </c>
      <c r="AA29" s="86" t="str">
        <f t="shared" si="0"/>
        <v>Reach-in Refrigerator 1</v>
      </c>
      <c r="AB29" s="130">
        <v>1</v>
      </c>
      <c r="AC29" s="130">
        <v>1</v>
      </c>
      <c r="AD29" s="130">
        <v>1</v>
      </c>
      <c r="AE29" s="130">
        <v>1</v>
      </c>
      <c r="AF29" s="130">
        <v>1</v>
      </c>
      <c r="AG29" s="130">
        <v>1</v>
      </c>
      <c r="AH29" s="130">
        <v>1</v>
      </c>
      <c r="AI29" s="130">
        <v>1</v>
      </c>
      <c r="AJ29" s="130">
        <v>1</v>
      </c>
      <c r="AK29" s="130">
        <v>1</v>
      </c>
      <c r="AL29" s="130">
        <v>1</v>
      </c>
      <c r="AM29" s="130">
        <v>1</v>
      </c>
      <c r="AN29" s="130">
        <v>1</v>
      </c>
      <c r="AO29" s="130">
        <v>1</v>
      </c>
      <c r="AP29" s="130">
        <v>1</v>
      </c>
      <c r="AQ29" s="130">
        <v>1</v>
      </c>
      <c r="AR29" s="130">
        <v>1</v>
      </c>
      <c r="AS29" s="130">
        <v>1</v>
      </c>
      <c r="AT29" s="130">
        <v>1</v>
      </c>
      <c r="AU29" s="130">
        <v>1</v>
      </c>
      <c r="AV29" s="130">
        <v>1</v>
      </c>
      <c r="AW29" s="130">
        <v>1</v>
      </c>
      <c r="AX29" s="130">
        <v>1</v>
      </c>
      <c r="AY29" s="130">
        <v>1</v>
      </c>
    </row>
    <row r="30" spans="1:51" ht="15.75" thickBot="1" x14ac:dyDescent="0.3">
      <c r="A30" s="490"/>
      <c r="B30" s="109"/>
      <c r="C30" s="86" t="s">
        <v>278</v>
      </c>
      <c r="D30" s="110"/>
      <c r="E30" s="111"/>
      <c r="F30" s="112">
        <v>15.7</v>
      </c>
      <c r="G30" s="112">
        <v>120</v>
      </c>
      <c r="H30" s="112">
        <v>1</v>
      </c>
      <c r="I30" s="113">
        <f t="shared" si="15"/>
        <v>1884</v>
      </c>
      <c r="J30" s="114">
        <f t="shared" si="2"/>
        <v>0</v>
      </c>
      <c r="N30" s="86" t="s">
        <v>279</v>
      </c>
      <c r="O30" s="86">
        <v>2700</v>
      </c>
      <c r="P30" s="115">
        <f t="shared" si="7"/>
        <v>0.41</v>
      </c>
      <c r="Q30" s="116">
        <f t="shared" si="8"/>
        <v>0</v>
      </c>
      <c r="R30" s="115">
        <f>$O$97</f>
        <v>1</v>
      </c>
      <c r="S30" s="117" t="s">
        <v>280</v>
      </c>
      <c r="T30" s="86">
        <v>24</v>
      </c>
      <c r="U30" s="116">
        <f t="shared" si="9"/>
        <v>0</v>
      </c>
      <c r="V30" s="118">
        <f t="shared" si="10"/>
        <v>0</v>
      </c>
      <c r="W30" s="119" t="e">
        <f>V30/$V$2</f>
        <v>#DIV/0!</v>
      </c>
      <c r="X30">
        <f>9.89*365</f>
        <v>3609.8500000000004</v>
      </c>
      <c r="Y30" s="102">
        <v>365</v>
      </c>
      <c r="Z30">
        <f t="shared" si="3"/>
        <v>1</v>
      </c>
      <c r="AA30" s="86" t="str">
        <f t="shared" si="0"/>
        <v>Reach-In Freezer 1</v>
      </c>
      <c r="AB30" s="130">
        <v>1</v>
      </c>
      <c r="AC30" s="130">
        <v>1</v>
      </c>
      <c r="AD30" s="130">
        <v>1</v>
      </c>
      <c r="AE30" s="130">
        <v>1</v>
      </c>
      <c r="AF30" s="130">
        <v>1</v>
      </c>
      <c r="AG30" s="130">
        <v>1</v>
      </c>
      <c r="AH30" s="130">
        <v>1</v>
      </c>
      <c r="AI30" s="130">
        <v>1</v>
      </c>
      <c r="AJ30" s="130">
        <v>1</v>
      </c>
      <c r="AK30" s="130">
        <v>1</v>
      </c>
      <c r="AL30" s="130">
        <v>1</v>
      </c>
      <c r="AM30" s="130">
        <v>1</v>
      </c>
      <c r="AN30" s="130">
        <v>1</v>
      </c>
      <c r="AO30" s="130">
        <v>1</v>
      </c>
      <c r="AP30" s="130">
        <v>1</v>
      </c>
      <c r="AQ30" s="130">
        <v>1</v>
      </c>
      <c r="AR30" s="130">
        <v>1</v>
      </c>
      <c r="AS30" s="130">
        <v>1</v>
      </c>
      <c r="AT30" s="130">
        <v>1</v>
      </c>
      <c r="AU30" s="130">
        <v>1</v>
      </c>
      <c r="AV30" s="130">
        <v>1</v>
      </c>
      <c r="AW30" s="130">
        <v>1</v>
      </c>
      <c r="AX30" s="130">
        <v>1</v>
      </c>
      <c r="AY30" s="130">
        <v>1</v>
      </c>
    </row>
    <row r="31" spans="1:51" ht="15.75" thickBot="1" x14ac:dyDescent="0.3">
      <c r="A31" s="490"/>
      <c r="B31" s="109"/>
      <c r="C31" s="171" t="s">
        <v>319</v>
      </c>
      <c r="D31" s="110"/>
      <c r="E31" s="111"/>
      <c r="F31" s="112">
        <v>40.200000000000003</v>
      </c>
      <c r="G31" s="112">
        <v>208</v>
      </c>
      <c r="H31" s="112">
        <v>1</v>
      </c>
      <c r="I31" s="272">
        <f t="shared" si="15"/>
        <v>8361.6</v>
      </c>
      <c r="J31" s="172">
        <f t="shared" si="2"/>
        <v>0</v>
      </c>
      <c r="N31" s="86" t="s">
        <v>320</v>
      </c>
      <c r="O31" s="86">
        <v>17400</v>
      </c>
      <c r="P31" s="115">
        <f t="shared" si="7"/>
        <v>0.08</v>
      </c>
      <c r="Q31" s="116">
        <f t="shared" si="8"/>
        <v>0</v>
      </c>
      <c r="R31" s="115">
        <f>$O$98</f>
        <v>0.3</v>
      </c>
      <c r="S31" s="117" t="s">
        <v>321</v>
      </c>
      <c r="T31" s="86">
        <v>5</v>
      </c>
      <c r="U31" s="116">
        <f t="shared" si="9"/>
        <v>0</v>
      </c>
      <c r="V31" s="118">
        <f t="shared" si="10"/>
        <v>0</v>
      </c>
      <c r="W31" s="119" t="e">
        <f>V31/$V$2</f>
        <v>#DIV/0!</v>
      </c>
      <c r="Y31" s="102">
        <f>$O$96</f>
        <v>251</v>
      </c>
      <c r="Z31">
        <f t="shared" si="3"/>
        <v>0</v>
      </c>
      <c r="AA31" s="86" t="str">
        <f t="shared" si="0"/>
        <v>Mobile Hot Food Counter 1</v>
      </c>
      <c r="AB31" s="86"/>
      <c r="AC31" s="86"/>
      <c r="AD31" s="86"/>
      <c r="AE31" s="86"/>
      <c r="AF31" s="86"/>
      <c r="AG31" s="86"/>
      <c r="AH31" s="86"/>
      <c r="AI31" s="86"/>
      <c r="AJ31" s="173">
        <f>0.5*P31</f>
        <v>0.04</v>
      </c>
      <c r="AK31" s="107">
        <f>$P$31</f>
        <v>0.08</v>
      </c>
      <c r="AL31" s="107">
        <f>$P$31</f>
        <v>0.08</v>
      </c>
      <c r="AM31" s="108">
        <v>0.5</v>
      </c>
      <c r="AN31" s="108">
        <v>1</v>
      </c>
      <c r="AO31" s="108">
        <v>1</v>
      </c>
      <c r="AP31" s="86"/>
      <c r="AQ31" s="86"/>
      <c r="AR31" s="86"/>
      <c r="AS31" s="86"/>
      <c r="AT31" s="86"/>
      <c r="AU31" s="86"/>
      <c r="AV31" s="86"/>
      <c r="AW31" s="86"/>
      <c r="AX31" s="86"/>
      <c r="AY31" s="86"/>
    </row>
    <row r="32" spans="1:51" ht="15.75" thickBot="1" x14ac:dyDescent="0.3">
      <c r="A32" s="490"/>
      <c r="B32" s="109"/>
      <c r="C32" s="121" t="s">
        <v>324</v>
      </c>
      <c r="D32" s="121"/>
      <c r="E32" s="121">
        <v>0</v>
      </c>
      <c r="F32" s="121"/>
      <c r="G32" s="121"/>
      <c r="H32" s="121"/>
      <c r="I32" s="122"/>
      <c r="J32" s="120">
        <f t="shared" si="2"/>
        <v>0</v>
      </c>
      <c r="N32" s="121"/>
      <c r="O32" s="121"/>
      <c r="P32" s="175"/>
      <c r="Q32" s="176"/>
      <c r="R32" s="175"/>
      <c r="S32" s="177"/>
      <c r="T32" s="121"/>
      <c r="U32" s="176">
        <f t="shared" si="9"/>
        <v>0</v>
      </c>
      <c r="V32" s="178"/>
      <c r="W32" s="179"/>
      <c r="Y32" s="102"/>
      <c r="Z32">
        <f t="shared" si="3"/>
        <v>0</v>
      </c>
      <c r="AA32" s="86" t="str">
        <f t="shared" si="0"/>
        <v>Mobile Salad Counter</v>
      </c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</row>
    <row r="33" spans="1:51" ht="15.75" thickBot="1" x14ac:dyDescent="0.3">
      <c r="A33" s="490"/>
      <c r="B33" s="109"/>
      <c r="C33" s="86" t="s">
        <v>327</v>
      </c>
      <c r="D33" s="110"/>
      <c r="E33" s="111"/>
      <c r="F33" s="112">
        <v>10</v>
      </c>
      <c r="G33" s="112">
        <v>120</v>
      </c>
      <c r="H33" s="112">
        <v>1</v>
      </c>
      <c r="I33" s="113">
        <f t="shared" ref="I33" si="31">F33*G33*SQRT(H33)</f>
        <v>1200</v>
      </c>
      <c r="J33" s="114">
        <f t="shared" si="2"/>
        <v>0</v>
      </c>
      <c r="N33" s="86" t="s">
        <v>264</v>
      </c>
      <c r="O33" s="86" t="s">
        <v>264</v>
      </c>
      <c r="P33" s="115">
        <f>IF(N33="NA",1,INDEX($O$101:$O$106,MATCH(N33,$N$101:$N$106,0)))</f>
        <v>1</v>
      </c>
      <c r="Q33" s="116">
        <f>J33*P33</f>
        <v>0</v>
      </c>
      <c r="R33" s="115">
        <f>$O$98</f>
        <v>0.3</v>
      </c>
      <c r="S33" s="117" t="s">
        <v>321</v>
      </c>
      <c r="T33" s="86">
        <v>5</v>
      </c>
      <c r="U33" s="116">
        <f t="shared" si="9"/>
        <v>0</v>
      </c>
      <c r="V33" s="118">
        <f t="shared" ref="V33" si="32">U33*Y33</f>
        <v>0</v>
      </c>
      <c r="W33" s="119" t="e">
        <f t="shared" ref="W33" si="33">V33/$V$2</f>
        <v>#DIV/0!</v>
      </c>
      <c r="Y33" s="102">
        <f>$O$96</f>
        <v>251</v>
      </c>
      <c r="Z33">
        <f t="shared" si="3"/>
        <v>0</v>
      </c>
      <c r="AA33" s="86" t="str">
        <f t="shared" si="0"/>
        <v>Mobile Cashier Counter 1</v>
      </c>
      <c r="AB33" s="86"/>
      <c r="AC33" s="86"/>
      <c r="AD33" s="86"/>
      <c r="AE33" s="86"/>
      <c r="AF33" s="86"/>
      <c r="AG33" s="86"/>
      <c r="AH33" s="86"/>
      <c r="AI33" s="86"/>
      <c r="AJ33" s="148" t="e">
        <f>#REF!</f>
        <v>#REF!</v>
      </c>
      <c r="AK33" s="148" t="e">
        <f>#REF!</f>
        <v>#REF!</v>
      </c>
      <c r="AL33" s="148" t="e">
        <f>#REF!</f>
        <v>#REF!</v>
      </c>
      <c r="AM33" s="148" t="e">
        <f>#REF!</f>
        <v>#REF!</v>
      </c>
      <c r="AN33" s="148" t="e">
        <f>#REF!</f>
        <v>#REF!</v>
      </c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</row>
    <row r="34" spans="1:51" ht="15.75" thickBot="1" x14ac:dyDescent="0.3">
      <c r="A34" s="491"/>
      <c r="B34" s="135"/>
      <c r="C34" s="183" t="s">
        <v>331</v>
      </c>
      <c r="D34" s="183"/>
      <c r="E34" s="183">
        <v>0</v>
      </c>
      <c r="F34" s="183"/>
      <c r="G34" s="183"/>
      <c r="H34" s="183"/>
      <c r="I34" s="184"/>
      <c r="J34" s="185">
        <f t="shared" si="2"/>
        <v>0</v>
      </c>
      <c r="N34" s="121"/>
      <c r="O34" s="121"/>
      <c r="P34" s="175"/>
      <c r="Q34" s="176"/>
      <c r="R34" s="175"/>
      <c r="S34" s="177"/>
      <c r="T34" s="121"/>
      <c r="U34" s="176">
        <f t="shared" si="9"/>
        <v>0</v>
      </c>
      <c r="V34" s="178"/>
      <c r="W34" s="179"/>
      <c r="Y34" s="102"/>
      <c r="Z34">
        <f t="shared" si="3"/>
        <v>0</v>
      </c>
      <c r="AA34" s="86" t="str">
        <f t="shared" si="0"/>
        <v>P.O.S. Unit 1</v>
      </c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</row>
    <row r="35" spans="1:51" x14ac:dyDescent="0.25">
      <c r="A35" t="s">
        <v>335</v>
      </c>
      <c r="J35" s="186">
        <f>SUM(J3:J34)</f>
        <v>0</v>
      </c>
      <c r="K35" s="186"/>
      <c r="L35" s="186"/>
      <c r="M35" s="186"/>
      <c r="P35" s="187" t="e">
        <f>SUMPRODUCT(J3:J34,P3:P34)/J35</f>
        <v>#DIV/0!</v>
      </c>
      <c r="Q35" s="187" t="e">
        <f>P35*J35</f>
        <v>#DIV/0!</v>
      </c>
      <c r="R35" s="188" t="e">
        <f>SUMPRODUCT(J3:J34,R3:R34)/J35</f>
        <v>#DIV/0!</v>
      </c>
      <c r="U35" s="187">
        <f>SUM(U3:U34)</f>
        <v>0</v>
      </c>
      <c r="AB35" s="86">
        <v>1</v>
      </c>
      <c r="AC35" s="86">
        <v>2</v>
      </c>
      <c r="AD35" s="86">
        <v>3</v>
      </c>
      <c r="AE35" s="86">
        <v>4</v>
      </c>
      <c r="AF35" s="86">
        <v>5</v>
      </c>
      <c r="AG35" s="86">
        <v>6</v>
      </c>
      <c r="AH35" s="86">
        <v>7</v>
      </c>
      <c r="AI35" s="86">
        <v>8</v>
      </c>
      <c r="AJ35" s="86">
        <v>9</v>
      </c>
      <c r="AK35" s="86">
        <v>10</v>
      </c>
      <c r="AL35" s="86">
        <v>11</v>
      </c>
      <c r="AM35" s="86">
        <v>12</v>
      </c>
      <c r="AN35" s="86">
        <v>13</v>
      </c>
      <c r="AO35" s="86">
        <v>14</v>
      </c>
      <c r="AP35" s="86">
        <v>15</v>
      </c>
      <c r="AQ35" s="86">
        <v>16</v>
      </c>
      <c r="AR35" s="86">
        <v>17</v>
      </c>
      <c r="AS35" s="86">
        <v>18</v>
      </c>
      <c r="AT35" s="86">
        <v>19</v>
      </c>
      <c r="AU35" s="86">
        <v>20</v>
      </c>
      <c r="AV35" s="86">
        <v>21</v>
      </c>
      <c r="AW35" s="86">
        <v>22</v>
      </c>
      <c r="AX35" s="86">
        <v>23</v>
      </c>
      <c r="AY35" s="86">
        <v>24</v>
      </c>
    </row>
    <row r="36" spans="1:51" x14ac:dyDescent="0.25">
      <c r="L36" s="186"/>
      <c r="M36" s="186"/>
      <c r="P36" s="187"/>
      <c r="T36" t="e">
        <f>J35*#REF!*O93*3.412</f>
        <v>#REF!</v>
      </c>
      <c r="Z36" t="s">
        <v>336</v>
      </c>
      <c r="AA36" s="190" t="e">
        <f t="shared" ref="AA36:AX36" si="34">ROUND(SUMPRODUCT(AB3:AB34,$J$3:$J$34,$P$3:$P$34,$R$3:$R$34)/$J$2,2)</f>
        <v>#DIV/0!</v>
      </c>
      <c r="AB36" s="190" t="e">
        <f t="shared" si="34"/>
        <v>#DIV/0!</v>
      </c>
      <c r="AC36" s="190" t="e">
        <f t="shared" si="34"/>
        <v>#DIV/0!</v>
      </c>
      <c r="AD36" s="190" t="e">
        <f t="shared" si="34"/>
        <v>#DIV/0!</v>
      </c>
      <c r="AE36" s="190" t="e">
        <f t="shared" si="34"/>
        <v>#DIV/0!</v>
      </c>
      <c r="AF36" s="190" t="e">
        <f t="shared" si="34"/>
        <v>#DIV/0!</v>
      </c>
      <c r="AG36" s="190" t="e">
        <f t="shared" si="34"/>
        <v>#DIV/0!</v>
      </c>
      <c r="AH36" s="190" t="e">
        <f t="shared" si="34"/>
        <v>#DIV/0!</v>
      </c>
      <c r="AI36" s="190" t="e">
        <f t="shared" si="34"/>
        <v>#REF!</v>
      </c>
      <c r="AJ36" s="190" t="e">
        <f t="shared" si="34"/>
        <v>#REF!</v>
      </c>
      <c r="AK36" s="190" t="e">
        <f t="shared" si="34"/>
        <v>#REF!</v>
      </c>
      <c r="AL36" s="190" t="e">
        <f t="shared" si="34"/>
        <v>#REF!</v>
      </c>
      <c r="AM36" s="190" t="e">
        <f t="shared" si="34"/>
        <v>#REF!</v>
      </c>
      <c r="AN36" s="190" t="e">
        <f t="shared" si="34"/>
        <v>#DIV/0!</v>
      </c>
      <c r="AO36" s="190" t="e">
        <f t="shared" si="34"/>
        <v>#DIV/0!</v>
      </c>
      <c r="AP36" s="190" t="e">
        <f t="shared" si="34"/>
        <v>#DIV/0!</v>
      </c>
      <c r="AQ36" s="190" t="e">
        <f t="shared" si="34"/>
        <v>#DIV/0!</v>
      </c>
      <c r="AR36" s="190" t="e">
        <f t="shared" si="34"/>
        <v>#DIV/0!</v>
      </c>
      <c r="AS36" s="190" t="e">
        <f t="shared" si="34"/>
        <v>#DIV/0!</v>
      </c>
      <c r="AT36" s="190" t="e">
        <f t="shared" si="34"/>
        <v>#DIV/0!</v>
      </c>
      <c r="AU36" s="190" t="e">
        <f t="shared" si="34"/>
        <v>#DIV/0!</v>
      </c>
      <c r="AV36" s="190" t="e">
        <f t="shared" si="34"/>
        <v>#DIV/0!</v>
      </c>
      <c r="AW36" s="190" t="e">
        <f t="shared" si="34"/>
        <v>#DIV/0!</v>
      </c>
      <c r="AX36" s="190" t="e">
        <f t="shared" si="34"/>
        <v>#DIV/0!</v>
      </c>
    </row>
    <row r="37" spans="1:51" ht="15.75" thickBot="1" x14ac:dyDescent="0.3">
      <c r="L37" s="186"/>
      <c r="M37" s="186"/>
      <c r="P37" s="187"/>
      <c r="Z37" t="s">
        <v>337</v>
      </c>
      <c r="AA37" s="190" t="e">
        <f t="shared" ref="AA37:AX37" si="35">ROUND(SUMPRODUCT(AB3:AB34,$J$3:$J$34,$P$3:$P$34,$R$3:$R$34,$Z$3:$Z$34)/$J$2,2)</f>
        <v>#DIV/0!</v>
      </c>
      <c r="AB37" s="190" t="e">
        <f t="shared" si="35"/>
        <v>#DIV/0!</v>
      </c>
      <c r="AC37" s="190" t="e">
        <f t="shared" si="35"/>
        <v>#DIV/0!</v>
      </c>
      <c r="AD37" s="190" t="e">
        <f t="shared" si="35"/>
        <v>#DIV/0!</v>
      </c>
      <c r="AE37" s="190" t="e">
        <f t="shared" si="35"/>
        <v>#DIV/0!</v>
      </c>
      <c r="AF37" s="190" t="e">
        <f t="shared" si="35"/>
        <v>#DIV/0!</v>
      </c>
      <c r="AG37" s="190" t="e">
        <f t="shared" si="35"/>
        <v>#DIV/0!</v>
      </c>
      <c r="AH37" s="190" t="e">
        <f t="shared" si="35"/>
        <v>#DIV/0!</v>
      </c>
      <c r="AI37" s="190" t="e">
        <f t="shared" si="35"/>
        <v>#REF!</v>
      </c>
      <c r="AJ37" s="190" t="e">
        <f t="shared" si="35"/>
        <v>#REF!</v>
      </c>
      <c r="AK37" s="190" t="e">
        <f t="shared" si="35"/>
        <v>#REF!</v>
      </c>
      <c r="AL37" s="190" t="e">
        <f t="shared" si="35"/>
        <v>#REF!</v>
      </c>
      <c r="AM37" s="190" t="e">
        <f t="shared" si="35"/>
        <v>#REF!</v>
      </c>
      <c r="AN37" s="190" t="e">
        <f t="shared" si="35"/>
        <v>#DIV/0!</v>
      </c>
      <c r="AO37" s="190" t="e">
        <f t="shared" si="35"/>
        <v>#DIV/0!</v>
      </c>
      <c r="AP37" s="190" t="e">
        <f t="shared" si="35"/>
        <v>#DIV/0!</v>
      </c>
      <c r="AQ37" s="190" t="e">
        <f t="shared" si="35"/>
        <v>#DIV/0!</v>
      </c>
      <c r="AR37" s="190" t="e">
        <f t="shared" si="35"/>
        <v>#DIV/0!</v>
      </c>
      <c r="AS37" s="190" t="e">
        <f t="shared" si="35"/>
        <v>#DIV/0!</v>
      </c>
      <c r="AT37" s="190" t="e">
        <f t="shared" si="35"/>
        <v>#DIV/0!</v>
      </c>
      <c r="AU37" s="190" t="e">
        <f t="shared" si="35"/>
        <v>#DIV/0!</v>
      </c>
      <c r="AV37" s="190" t="e">
        <f t="shared" si="35"/>
        <v>#DIV/0!</v>
      </c>
      <c r="AW37" s="190" t="e">
        <f t="shared" si="35"/>
        <v>#DIV/0!</v>
      </c>
      <c r="AX37" s="190" t="e">
        <f t="shared" si="35"/>
        <v>#DIV/0!</v>
      </c>
    </row>
    <row r="38" spans="1:51" ht="15.75" thickBot="1" x14ac:dyDescent="0.3">
      <c r="E38" s="492" t="s">
        <v>338</v>
      </c>
      <c r="F38" s="493"/>
      <c r="G38" s="493"/>
      <c r="H38" s="493"/>
      <c r="I38" s="493"/>
      <c r="J38" s="494"/>
      <c r="K38" s="191" t="s">
        <v>339</v>
      </c>
      <c r="L38" s="186"/>
      <c r="M38" s="186"/>
      <c r="N38" s="492" t="s">
        <v>340</v>
      </c>
      <c r="O38" s="494"/>
      <c r="P38" s="187"/>
    </row>
    <row r="39" spans="1:51" ht="28.9" customHeight="1" thickBot="1" x14ac:dyDescent="0.3">
      <c r="A39" s="192"/>
      <c r="B39" s="193" t="s">
        <v>243</v>
      </c>
      <c r="C39" s="193" t="s">
        <v>23</v>
      </c>
      <c r="D39" s="194" t="s">
        <v>244</v>
      </c>
      <c r="E39" s="81" t="s">
        <v>341</v>
      </c>
      <c r="F39" s="82" t="s">
        <v>342</v>
      </c>
      <c r="G39" s="82" t="s">
        <v>343</v>
      </c>
      <c r="H39" s="82" t="s">
        <v>247</v>
      </c>
      <c r="I39" s="82" t="s">
        <v>344</v>
      </c>
      <c r="J39" s="83" t="s">
        <v>344</v>
      </c>
      <c r="K39" s="195" t="s">
        <v>345</v>
      </c>
      <c r="L39" s="186"/>
      <c r="M39" s="186"/>
      <c r="N39" s="196" t="s">
        <v>346</v>
      </c>
      <c r="O39" s="83" t="s">
        <v>252</v>
      </c>
      <c r="P39" s="81" t="s">
        <v>253</v>
      </c>
      <c r="Q39" s="84" t="s">
        <v>254</v>
      </c>
      <c r="R39" s="84" t="s">
        <v>255</v>
      </c>
      <c r="S39" s="82" t="s">
        <v>256</v>
      </c>
      <c r="T39" s="84" t="s">
        <v>347</v>
      </c>
      <c r="U39" s="84" t="s">
        <v>348</v>
      </c>
      <c r="V39" s="197" t="s">
        <v>349</v>
      </c>
      <c r="X39" s="83" t="s">
        <v>350</v>
      </c>
    </row>
    <row r="40" spans="1:51" x14ac:dyDescent="0.25">
      <c r="A40" s="483" t="s">
        <v>351</v>
      </c>
      <c r="B40" s="96"/>
      <c r="C40" s="95" t="s">
        <v>352</v>
      </c>
      <c r="D40" s="198"/>
      <c r="E40" s="199"/>
      <c r="F40" s="200"/>
      <c r="G40" s="200"/>
      <c r="H40" s="200"/>
      <c r="I40" s="200"/>
      <c r="J40" s="201"/>
      <c r="K40" s="202">
        <v>130000</v>
      </c>
      <c r="L40" s="186"/>
      <c r="M40" s="186"/>
      <c r="N40" s="203" t="s">
        <v>353</v>
      </c>
      <c r="O40" s="204">
        <v>0.1</v>
      </c>
      <c r="P40" s="205">
        <f>((K40*O40)/3.412)/1000</f>
        <v>3.8100820633059787</v>
      </c>
      <c r="Q40" s="101">
        <f>$V$56</f>
        <v>1</v>
      </c>
      <c r="R40" s="103" t="s">
        <v>273</v>
      </c>
      <c r="S40" s="95">
        <v>2</v>
      </c>
      <c r="T40" s="206">
        <f>D40*Q40*S40*P40*3.412*$O$94</f>
        <v>0</v>
      </c>
      <c r="U40" s="95">
        <f>$O$96</f>
        <v>251</v>
      </c>
      <c r="V40" s="207">
        <f>T40*$O$96</f>
        <v>0</v>
      </c>
      <c r="X40" s="208"/>
      <c r="Z40" s="86" t="str">
        <f>C40</f>
        <v>TILT SKILLET</v>
      </c>
      <c r="AA40" s="106"/>
      <c r="AB40" s="106"/>
      <c r="AC40" s="106"/>
      <c r="AD40" s="106"/>
      <c r="AE40" s="106"/>
      <c r="AF40" s="106"/>
      <c r="AG40" s="106"/>
      <c r="AH40" s="106"/>
      <c r="AI40" s="106"/>
      <c r="AJ40" s="107">
        <f>$P$7</f>
        <v>1</v>
      </c>
      <c r="AK40" s="107">
        <f>$P$7</f>
        <v>1</v>
      </c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</row>
    <row r="41" spans="1:51" x14ac:dyDescent="0.25">
      <c r="A41" s="484"/>
      <c r="B41" s="110"/>
      <c r="C41" s="86" t="s">
        <v>354</v>
      </c>
      <c r="D41" s="209"/>
      <c r="E41" s="210"/>
      <c r="F41" s="121"/>
      <c r="G41" s="121"/>
      <c r="H41" s="121"/>
      <c r="I41" s="121"/>
      <c r="J41" s="211"/>
      <c r="K41" s="212">
        <v>200000</v>
      </c>
      <c r="L41" s="186"/>
      <c r="M41" s="186"/>
      <c r="N41" s="213" t="s">
        <v>355</v>
      </c>
      <c r="O41" s="214">
        <v>0.04</v>
      </c>
      <c r="P41" s="215">
        <f>((K41*O41)/3.412)/1000</f>
        <v>2.3446658851113718</v>
      </c>
      <c r="Q41" s="115">
        <f>$V$57</f>
        <v>1</v>
      </c>
      <c r="R41" s="117" t="s">
        <v>275</v>
      </c>
      <c r="S41" s="86">
        <v>6</v>
      </c>
      <c r="T41" s="216">
        <f>D41*Q41*S41*P41*3.412*$O$94</f>
        <v>0</v>
      </c>
      <c r="U41" s="86">
        <f>$O$96</f>
        <v>251</v>
      </c>
      <c r="V41" s="217">
        <f>T41*$O$96</f>
        <v>0</v>
      </c>
      <c r="W41" s="218"/>
      <c r="X41" s="219"/>
      <c r="Z41" s="86" t="str">
        <f>C41</f>
        <v>STEAMER</v>
      </c>
      <c r="AA41" s="86"/>
      <c r="AB41" s="86"/>
      <c r="AC41" s="86"/>
      <c r="AD41" s="86"/>
      <c r="AE41" s="86"/>
      <c r="AF41" s="86"/>
      <c r="AG41" s="86"/>
      <c r="AH41" s="107">
        <f t="shared" ref="AH41:AM41" si="36">$P$9</f>
        <v>1</v>
      </c>
      <c r="AI41" s="107">
        <f t="shared" si="36"/>
        <v>1</v>
      </c>
      <c r="AJ41" s="107">
        <f t="shared" si="36"/>
        <v>1</v>
      </c>
      <c r="AK41" s="107">
        <f t="shared" si="36"/>
        <v>1</v>
      </c>
      <c r="AL41" s="107">
        <f t="shared" si="36"/>
        <v>1</v>
      </c>
      <c r="AM41" s="107">
        <f t="shared" si="36"/>
        <v>1</v>
      </c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</row>
    <row r="42" spans="1:51" x14ac:dyDescent="0.25">
      <c r="A42" s="484"/>
      <c r="B42" s="110"/>
      <c r="C42" s="86" t="s">
        <v>356</v>
      </c>
      <c r="D42" s="209"/>
      <c r="E42" s="210"/>
      <c r="F42" s="121"/>
      <c r="G42" s="121"/>
      <c r="H42" s="121"/>
      <c r="I42" s="121"/>
      <c r="J42" s="211"/>
      <c r="K42" s="212">
        <v>110000</v>
      </c>
      <c r="L42" s="186"/>
      <c r="M42" s="186"/>
      <c r="N42" s="213" t="s">
        <v>357</v>
      </c>
      <c r="O42" s="214">
        <v>0.08</v>
      </c>
      <c r="P42" s="215">
        <f>((K42*O42)/3.412)/1000</f>
        <v>2.5791324736225087</v>
      </c>
      <c r="Q42" s="115">
        <f>$V$58</f>
        <v>1</v>
      </c>
      <c r="R42" s="117" t="s">
        <v>275</v>
      </c>
      <c r="S42" s="86">
        <v>6</v>
      </c>
      <c r="T42" s="216">
        <f>D42*Q42*S42*P42*3.412*$O$94</f>
        <v>0</v>
      </c>
      <c r="U42" s="86">
        <f>$O$96</f>
        <v>251</v>
      </c>
      <c r="V42" s="217">
        <f>T42*$O$96</f>
        <v>0</v>
      </c>
      <c r="W42" s="218"/>
      <c r="X42" s="219"/>
      <c r="Z42" s="86" t="str">
        <f>C42</f>
        <v>DBL. DECK. CONVECTION   OVEN x2</v>
      </c>
      <c r="AA42" s="86"/>
      <c r="AB42" s="86"/>
      <c r="AC42" s="86"/>
      <c r="AD42" s="86"/>
      <c r="AE42" s="86"/>
      <c r="AF42" s="86"/>
      <c r="AG42" s="86"/>
      <c r="AH42" s="107">
        <f t="shared" ref="AH42:AM43" si="37">$P$10</f>
        <v>1</v>
      </c>
      <c r="AI42" s="107">
        <f t="shared" si="37"/>
        <v>1</v>
      </c>
      <c r="AJ42" s="107">
        <f t="shared" si="37"/>
        <v>1</v>
      </c>
      <c r="AK42" s="107">
        <f t="shared" si="37"/>
        <v>1</v>
      </c>
      <c r="AL42" s="107">
        <f t="shared" si="37"/>
        <v>1</v>
      </c>
      <c r="AM42" s="107">
        <f t="shared" si="37"/>
        <v>1</v>
      </c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</row>
    <row r="43" spans="1:51" ht="15.75" thickBot="1" x14ac:dyDescent="0.3">
      <c r="A43" s="485"/>
      <c r="B43" s="137"/>
      <c r="C43" s="136" t="s">
        <v>358</v>
      </c>
      <c r="D43" s="220"/>
      <c r="E43" s="221"/>
      <c r="F43" s="183"/>
      <c r="G43" s="183"/>
      <c r="H43" s="183"/>
      <c r="I43" s="183"/>
      <c r="J43" s="222"/>
      <c r="K43" s="223">
        <v>180000</v>
      </c>
      <c r="L43" s="186"/>
      <c r="M43" s="186"/>
      <c r="N43" s="224" t="s">
        <v>359</v>
      </c>
      <c r="O43" s="225">
        <v>0.85</v>
      </c>
      <c r="P43" s="226">
        <f>((K43*O43)/3.412)/1000</f>
        <v>44.841735052754984</v>
      </c>
      <c r="Q43" s="142">
        <f>$V$59</f>
        <v>1</v>
      </c>
      <c r="R43" s="144" t="s">
        <v>275</v>
      </c>
      <c r="S43" s="136">
        <v>6</v>
      </c>
      <c r="T43" s="227">
        <f>D43*Q43*S43*P43*3.412*$O$94</f>
        <v>0</v>
      </c>
      <c r="U43" s="136">
        <f>$O$96</f>
        <v>251</v>
      </c>
      <c r="V43" s="228">
        <f>T43*$O$96</f>
        <v>0</v>
      </c>
      <c r="W43" s="218"/>
      <c r="X43" s="229"/>
      <c r="Z43" s="86" t="str">
        <f>C43</f>
        <v>COMBI RANGE W/ OVEN</v>
      </c>
      <c r="AA43" s="86"/>
      <c r="AB43" s="86"/>
      <c r="AC43" s="86"/>
      <c r="AD43" s="86"/>
      <c r="AE43" s="86"/>
      <c r="AF43" s="86"/>
      <c r="AG43" s="86"/>
      <c r="AH43" s="107">
        <f t="shared" si="37"/>
        <v>1</v>
      </c>
      <c r="AI43" s="107">
        <f t="shared" si="37"/>
        <v>1</v>
      </c>
      <c r="AJ43" s="107">
        <f t="shared" si="37"/>
        <v>1</v>
      </c>
      <c r="AK43" s="107">
        <f t="shared" si="37"/>
        <v>1</v>
      </c>
      <c r="AL43" s="107">
        <f t="shared" si="37"/>
        <v>1</v>
      </c>
      <c r="AM43" s="107">
        <f t="shared" si="37"/>
        <v>1</v>
      </c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</row>
    <row r="44" spans="1:51" ht="15.75" thickBot="1" x14ac:dyDescent="0.3">
      <c r="A44" s="230"/>
      <c r="B44" s="231"/>
      <c r="C44" s="231" t="s">
        <v>184</v>
      </c>
      <c r="D44" s="231"/>
      <c r="E44" s="231"/>
      <c r="F44" s="231"/>
      <c r="G44" s="231"/>
      <c r="H44" s="231"/>
      <c r="I44" s="232"/>
      <c r="J44" s="232"/>
      <c r="K44" s="233">
        <f>SUMPRODUCT(K40:K43,D40:D43)</f>
        <v>0</v>
      </c>
      <c r="L44" s="186"/>
      <c r="M44" s="186"/>
      <c r="N44" s="231"/>
      <c r="O44" s="231" t="e">
        <f>SUMPRODUCT(K40:K43,O40:O43)/K44</f>
        <v>#DIV/0!</v>
      </c>
      <c r="P44" s="231"/>
      <c r="Q44" s="234"/>
      <c r="R44" s="231"/>
      <c r="S44" s="231"/>
      <c r="T44" s="231"/>
      <c r="U44" s="231" t="s">
        <v>184</v>
      </c>
      <c r="V44" s="235">
        <f>SUM(V40:V43)</f>
        <v>0</v>
      </c>
      <c r="X44" s="236" t="e">
        <f>V44/#REF!</f>
        <v>#REF!</v>
      </c>
      <c r="Z44" t="str">
        <f>C44</f>
        <v>Total</v>
      </c>
      <c r="AA44" t="e">
        <f t="shared" ref="AA44:AX44" si="38">ROUND(SUMPRODUCT(AA40:AA43,$K$40:$K$43,$O$40:$O$43,$D$40:$D$43)/$K$44,2)</f>
        <v>#DIV/0!</v>
      </c>
      <c r="AB44" t="e">
        <f t="shared" si="38"/>
        <v>#DIV/0!</v>
      </c>
      <c r="AC44" t="e">
        <f t="shared" si="38"/>
        <v>#DIV/0!</v>
      </c>
      <c r="AD44" t="e">
        <f t="shared" si="38"/>
        <v>#DIV/0!</v>
      </c>
      <c r="AE44" t="e">
        <f t="shared" si="38"/>
        <v>#DIV/0!</v>
      </c>
      <c r="AF44" t="e">
        <f t="shared" si="38"/>
        <v>#DIV/0!</v>
      </c>
      <c r="AG44" t="e">
        <f t="shared" si="38"/>
        <v>#DIV/0!</v>
      </c>
      <c r="AH44" t="e">
        <f t="shared" si="38"/>
        <v>#DIV/0!</v>
      </c>
      <c r="AI44" t="e">
        <f t="shared" si="38"/>
        <v>#DIV/0!</v>
      </c>
      <c r="AJ44" t="e">
        <f t="shared" si="38"/>
        <v>#DIV/0!</v>
      </c>
      <c r="AK44" t="e">
        <f t="shared" si="38"/>
        <v>#DIV/0!</v>
      </c>
      <c r="AL44" t="e">
        <f t="shared" si="38"/>
        <v>#DIV/0!</v>
      </c>
      <c r="AM44" t="e">
        <f t="shared" si="38"/>
        <v>#DIV/0!</v>
      </c>
      <c r="AN44" t="e">
        <f t="shared" si="38"/>
        <v>#DIV/0!</v>
      </c>
      <c r="AO44" t="e">
        <f t="shared" si="38"/>
        <v>#DIV/0!</v>
      </c>
      <c r="AP44" t="e">
        <f t="shared" si="38"/>
        <v>#DIV/0!</v>
      </c>
      <c r="AQ44" t="e">
        <f t="shared" si="38"/>
        <v>#DIV/0!</v>
      </c>
      <c r="AR44" t="e">
        <f t="shared" si="38"/>
        <v>#DIV/0!</v>
      </c>
      <c r="AS44" t="e">
        <f t="shared" si="38"/>
        <v>#DIV/0!</v>
      </c>
      <c r="AT44" t="e">
        <f t="shared" si="38"/>
        <v>#DIV/0!</v>
      </c>
      <c r="AU44" t="e">
        <f t="shared" si="38"/>
        <v>#DIV/0!</v>
      </c>
      <c r="AV44" t="e">
        <f t="shared" si="38"/>
        <v>#DIV/0!</v>
      </c>
      <c r="AW44" t="e">
        <f t="shared" si="38"/>
        <v>#DIV/0!</v>
      </c>
      <c r="AX44" t="e">
        <f t="shared" si="38"/>
        <v>#DIV/0!</v>
      </c>
    </row>
    <row r="45" spans="1:51" ht="15.75" thickBot="1" x14ac:dyDescent="0.3">
      <c r="A45" s="237"/>
      <c r="L45" s="186"/>
      <c r="M45" s="186"/>
      <c r="P45" s="187"/>
      <c r="V45" s="238"/>
      <c r="W45" s="218"/>
      <c r="X45" s="56"/>
    </row>
    <row r="46" spans="1:51" x14ac:dyDescent="0.25">
      <c r="A46" s="483" t="s">
        <v>360</v>
      </c>
      <c r="B46" s="96"/>
      <c r="C46" s="95" t="s">
        <v>352</v>
      </c>
      <c r="D46" s="239"/>
      <c r="E46" s="240">
        <v>18</v>
      </c>
      <c r="F46" s="98">
        <v>50</v>
      </c>
      <c r="G46" s="98">
        <v>208</v>
      </c>
      <c r="H46" s="98">
        <v>3</v>
      </c>
      <c r="I46" s="241">
        <f>F46*G46*SQRT(H46)</f>
        <v>18013.328398716323</v>
      </c>
      <c r="J46" s="242">
        <f t="shared" ref="J46:J49" si="39">I46/1000</f>
        <v>18.013328398716322</v>
      </c>
      <c r="K46" s="243"/>
      <c r="L46" s="186"/>
      <c r="M46" s="186"/>
      <c r="N46" s="203" t="s">
        <v>361</v>
      </c>
      <c r="O46" s="204">
        <v>0.16</v>
      </c>
      <c r="P46" s="205">
        <f>E46*O46</f>
        <v>2.88</v>
      </c>
      <c r="Q46" s="101">
        <f>$V$56</f>
        <v>1</v>
      </c>
      <c r="R46" s="103" t="s">
        <v>273</v>
      </c>
      <c r="S46" s="95">
        <v>2</v>
      </c>
      <c r="T46" s="102">
        <f>D46*Q46*S46*P46*3.412*$O$93</f>
        <v>0</v>
      </c>
      <c r="U46" s="95">
        <f>$O$96</f>
        <v>251</v>
      </c>
      <c r="V46" s="207">
        <f>T46*$O$96</f>
        <v>0</v>
      </c>
      <c r="X46" s="208"/>
      <c r="Z46" s="86" t="str">
        <f>C46</f>
        <v>TILT SKILLET</v>
      </c>
      <c r="AA46" s="106"/>
      <c r="AB46" s="106"/>
      <c r="AC46" s="106"/>
      <c r="AD46" s="106"/>
      <c r="AE46" s="106"/>
      <c r="AF46" s="106"/>
      <c r="AG46" s="106"/>
      <c r="AH46" s="106"/>
      <c r="AI46" s="106"/>
      <c r="AJ46" s="107">
        <f>$P$7</f>
        <v>1</v>
      </c>
      <c r="AK46" s="107">
        <f>$P$7</f>
        <v>1</v>
      </c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</row>
    <row r="47" spans="1:51" x14ac:dyDescent="0.25">
      <c r="A47" s="484"/>
      <c r="B47" s="110"/>
      <c r="C47" s="86" t="s">
        <v>354</v>
      </c>
      <c r="D47" s="244"/>
      <c r="E47" s="245">
        <v>32.200000000000003</v>
      </c>
      <c r="F47" s="112">
        <v>89.5</v>
      </c>
      <c r="G47" s="112">
        <v>208</v>
      </c>
      <c r="H47" s="112">
        <v>3</v>
      </c>
      <c r="I47" s="106">
        <f t="shared" ref="I47:I49" si="40">F47*G47*SQRT(H47)</f>
        <v>32243.857833702219</v>
      </c>
      <c r="J47" s="246">
        <f t="shared" si="39"/>
        <v>32.243857833702222</v>
      </c>
      <c r="K47" s="247"/>
      <c r="L47" s="186"/>
      <c r="M47" s="186"/>
      <c r="N47" s="213" t="s">
        <v>363</v>
      </c>
      <c r="O47" s="214">
        <v>0.04</v>
      </c>
      <c r="P47" s="215">
        <f>E47*O47</f>
        <v>1.288</v>
      </c>
      <c r="Q47" s="115">
        <f>$V$57</f>
        <v>1</v>
      </c>
      <c r="R47" s="117" t="s">
        <v>275</v>
      </c>
      <c r="S47" s="86">
        <v>6</v>
      </c>
      <c r="T47" s="116">
        <f>D47*Q47*S47*P47*3.412*$O$93</f>
        <v>0</v>
      </c>
      <c r="U47" s="86">
        <f>$O$96</f>
        <v>251</v>
      </c>
      <c r="V47" s="217">
        <f>T47*$O$96</f>
        <v>0</v>
      </c>
      <c r="X47" s="219"/>
      <c r="Z47" s="86" t="str">
        <f>C47</f>
        <v>STEAMER</v>
      </c>
      <c r="AA47" s="86"/>
      <c r="AB47" s="86"/>
      <c r="AC47" s="86"/>
      <c r="AD47" s="86"/>
      <c r="AE47" s="86"/>
      <c r="AF47" s="86"/>
      <c r="AG47" s="86"/>
      <c r="AH47" s="107">
        <f t="shared" ref="AH47:AM47" si="41">$P$9</f>
        <v>1</v>
      </c>
      <c r="AI47" s="107">
        <f t="shared" si="41"/>
        <v>1</v>
      </c>
      <c r="AJ47" s="107">
        <f t="shared" si="41"/>
        <v>1</v>
      </c>
      <c r="AK47" s="107">
        <f t="shared" si="41"/>
        <v>1</v>
      </c>
      <c r="AL47" s="107">
        <f t="shared" si="41"/>
        <v>1</v>
      </c>
      <c r="AM47" s="107">
        <f t="shared" si="41"/>
        <v>1</v>
      </c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</row>
    <row r="48" spans="1:51" x14ac:dyDescent="0.25">
      <c r="A48" s="484"/>
      <c r="B48" s="110"/>
      <c r="C48" s="86" t="s">
        <v>368</v>
      </c>
      <c r="D48" s="244"/>
      <c r="E48" s="245">
        <v>11</v>
      </c>
      <c r="F48" s="112">
        <v>31</v>
      </c>
      <c r="G48" s="112">
        <v>208</v>
      </c>
      <c r="H48" s="112">
        <v>3</v>
      </c>
      <c r="I48" s="106">
        <f t="shared" si="40"/>
        <v>11168.26360720412</v>
      </c>
      <c r="J48" s="246">
        <f t="shared" si="39"/>
        <v>11.168263607204121</v>
      </c>
      <c r="K48" s="247"/>
      <c r="L48" s="186"/>
      <c r="M48" s="186"/>
      <c r="N48" s="213" t="s">
        <v>365</v>
      </c>
      <c r="O48" s="214">
        <v>0.1</v>
      </c>
      <c r="P48" s="215">
        <f>E48*O48</f>
        <v>1.1000000000000001</v>
      </c>
      <c r="Q48" s="115">
        <f>$V$58</f>
        <v>1</v>
      </c>
      <c r="R48" s="117" t="s">
        <v>275</v>
      </c>
      <c r="S48" s="86">
        <v>6</v>
      </c>
      <c r="T48" s="116">
        <f>D48*Q48*S48*P48*3.412*$O$93</f>
        <v>0</v>
      </c>
      <c r="U48" s="86">
        <f>$O$96</f>
        <v>251</v>
      </c>
      <c r="V48" s="217">
        <f>T48*$O$96</f>
        <v>0</v>
      </c>
      <c r="X48" s="219"/>
      <c r="Z48" s="86" t="str">
        <f>C48</f>
        <v>DBL. DECK. CONVECTION   OVEN</v>
      </c>
      <c r="AA48" s="86"/>
      <c r="AB48" s="86"/>
      <c r="AC48" s="86"/>
      <c r="AD48" s="86"/>
      <c r="AE48" s="86"/>
      <c r="AF48" s="86"/>
      <c r="AG48" s="86"/>
      <c r="AH48" s="107">
        <f t="shared" ref="AH48:AM49" si="42">$P$10</f>
        <v>1</v>
      </c>
      <c r="AI48" s="107">
        <f t="shared" si="42"/>
        <v>1</v>
      </c>
      <c r="AJ48" s="107">
        <f t="shared" si="42"/>
        <v>1</v>
      </c>
      <c r="AK48" s="107">
        <f t="shared" si="42"/>
        <v>1</v>
      </c>
      <c r="AL48" s="107">
        <f t="shared" si="42"/>
        <v>1</v>
      </c>
      <c r="AM48" s="107">
        <f t="shared" si="42"/>
        <v>1</v>
      </c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</row>
    <row r="49" spans="1:50" ht="15.75" thickBot="1" x14ac:dyDescent="0.3">
      <c r="A49" s="485"/>
      <c r="B49" s="137"/>
      <c r="C49" s="136" t="s">
        <v>369</v>
      </c>
      <c r="D49" s="248"/>
      <c r="E49" s="249">
        <v>26.8</v>
      </c>
      <c r="F49" s="139">
        <v>82.2</v>
      </c>
      <c r="G49" s="139">
        <v>208</v>
      </c>
      <c r="H49" s="139">
        <v>3</v>
      </c>
      <c r="I49" s="250">
        <f t="shared" si="40"/>
        <v>29613.911887489638</v>
      </c>
      <c r="J49" s="251">
        <f t="shared" si="39"/>
        <v>29.613911887489639</v>
      </c>
      <c r="K49" s="252"/>
      <c r="L49" s="186"/>
      <c r="M49" s="186"/>
      <c r="N49" s="224" t="s">
        <v>367</v>
      </c>
      <c r="O49" s="225">
        <v>0.54</v>
      </c>
      <c r="P49" s="226">
        <f>E49*O49</f>
        <v>14.472000000000001</v>
      </c>
      <c r="Q49" s="142">
        <f>$V$59</f>
        <v>1</v>
      </c>
      <c r="R49" s="144" t="s">
        <v>275</v>
      </c>
      <c r="S49" s="136">
        <v>6</v>
      </c>
      <c r="T49" s="143">
        <f>D49*Q49*S49*P49*3.412*$O$93</f>
        <v>0</v>
      </c>
      <c r="U49" s="136">
        <f>$O$96</f>
        <v>251</v>
      </c>
      <c r="V49" s="228">
        <f>T49*$O$96</f>
        <v>0</v>
      </c>
      <c r="X49" s="229"/>
      <c r="Z49" s="86" t="str">
        <f>C49</f>
        <v>INDUCTION RANGE W/ OVEN</v>
      </c>
      <c r="AA49" s="86"/>
      <c r="AB49" s="86"/>
      <c r="AC49" s="86"/>
      <c r="AD49" s="86"/>
      <c r="AE49" s="86"/>
      <c r="AF49" s="86"/>
      <c r="AG49" s="86"/>
      <c r="AH49" s="107">
        <f t="shared" si="42"/>
        <v>1</v>
      </c>
      <c r="AI49" s="107">
        <f t="shared" si="42"/>
        <v>1</v>
      </c>
      <c r="AJ49" s="107">
        <f t="shared" si="42"/>
        <v>1</v>
      </c>
      <c r="AK49" s="107">
        <f t="shared" si="42"/>
        <v>1</v>
      </c>
      <c r="AL49" s="107">
        <f t="shared" si="42"/>
        <v>1</v>
      </c>
      <c r="AM49" s="107">
        <f t="shared" si="42"/>
        <v>1</v>
      </c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</row>
    <row r="50" spans="1:50" ht="15.75" thickBot="1" x14ac:dyDescent="0.3">
      <c r="A50" s="230"/>
      <c r="B50" s="231"/>
      <c r="C50" s="231" t="s">
        <v>184</v>
      </c>
      <c r="D50" s="231"/>
      <c r="E50" s="231"/>
      <c r="F50" s="231"/>
      <c r="G50" s="231"/>
      <c r="H50" s="231"/>
      <c r="I50" s="232"/>
      <c r="J50" s="232">
        <f>SUMPRODUCT(D46:D49,J46:J49)</f>
        <v>0</v>
      </c>
      <c r="K50" s="233"/>
      <c r="L50" s="186"/>
      <c r="M50" s="186"/>
      <c r="N50" s="231"/>
      <c r="O50" s="231"/>
      <c r="P50" s="231"/>
      <c r="Q50" s="234"/>
      <c r="R50" s="231"/>
      <c r="S50" s="231"/>
      <c r="T50" s="231"/>
      <c r="U50" s="231" t="s">
        <v>184</v>
      </c>
      <c r="V50" s="235">
        <f>SUM(V46:V49)</f>
        <v>0</v>
      </c>
      <c r="X50" s="236" t="e">
        <f>V50/#REF!</f>
        <v>#REF!</v>
      </c>
      <c r="Z50" t="str">
        <f>C50</f>
        <v>Total</v>
      </c>
      <c r="AA50" t="e">
        <f>ROUND(SUMPRODUCT(AA46:AA49,$J$46:$J49,$O$46:$O$49,$D$46:$D$49)/$J$50,2)</f>
        <v>#DIV/0!</v>
      </c>
      <c r="AB50" t="e">
        <f>ROUND(SUMPRODUCT(AB46:AB49,$J$46:$J49,$O$46:$O$49,$D$46:$D$49)/$J$50,2)</f>
        <v>#DIV/0!</v>
      </c>
      <c r="AC50" t="e">
        <f>ROUND(SUMPRODUCT(AC46:AC49,$J$46:$J49,$O$46:$O$49,$D$46:$D$49)/$J$50,2)</f>
        <v>#DIV/0!</v>
      </c>
      <c r="AD50" t="e">
        <f>ROUND(SUMPRODUCT(AD46:AD49,$J$46:$J49,$O$46:$O$49,$D$46:$D$49)/$J$50,2)</f>
        <v>#DIV/0!</v>
      </c>
      <c r="AE50" t="e">
        <f>ROUND(SUMPRODUCT(AE46:AE49,$J$46:$J49,$O$46:$O$49,$D$46:$D$49)/$J$50,2)</f>
        <v>#DIV/0!</v>
      </c>
      <c r="AF50" t="e">
        <f>ROUND(SUMPRODUCT(AF46:AF49,$J$46:$J49,$O$46:$O$49,$D$46:$D$49)/$J$50,2)</f>
        <v>#DIV/0!</v>
      </c>
      <c r="AG50" t="e">
        <f>ROUND(SUMPRODUCT(AG46:AG49,$J$46:$J49,$O$46:$O$49,$D$46:$D$49)/$J$50,2)</f>
        <v>#DIV/0!</v>
      </c>
      <c r="AH50" t="e">
        <f>ROUND(SUMPRODUCT(AH46:AH49,$J$46:$J49,$O$46:$O$49,$D$46:$D$49)/$J$50,2)</f>
        <v>#DIV/0!</v>
      </c>
      <c r="AI50" t="e">
        <f>ROUND(SUMPRODUCT(AI46:AI49,$J$46:$J49,$O$46:$O$49,$D$46:$D$49)/$J$50,2)</f>
        <v>#DIV/0!</v>
      </c>
      <c r="AJ50" t="e">
        <f>ROUND(SUMPRODUCT(AJ46:AJ49,$J$46:$J49,$O$46:$O$49,$D$46:$D$49)/$J$50,2)</f>
        <v>#DIV/0!</v>
      </c>
      <c r="AK50" t="e">
        <f>ROUND(SUMPRODUCT(AK46:AK49,$J$46:$J49,$O$46:$O$49,$D$46:$D$49)/$J$50,2)</f>
        <v>#DIV/0!</v>
      </c>
      <c r="AL50" t="e">
        <f>ROUND(SUMPRODUCT(AL46:AL49,$J$46:$J49,$O$46:$O$49,$D$46:$D$49)/$J$50,2)</f>
        <v>#DIV/0!</v>
      </c>
      <c r="AM50" t="e">
        <f>ROUND(SUMPRODUCT(AM46:AM49,$J$46:$J49,$O$46:$O$49,$D$46:$D$49)/$J$50,2)</f>
        <v>#DIV/0!</v>
      </c>
      <c r="AN50" t="e">
        <f>ROUND(SUMPRODUCT(AN46:AN49,$J$46:$J49,$O$46:$O$49,$D$46:$D$49)/$J$50,2)</f>
        <v>#DIV/0!</v>
      </c>
      <c r="AO50" t="e">
        <f>ROUND(SUMPRODUCT(AO46:AO49,$J$46:$J49,$O$46:$O$49,$D$46:$D$49)/$J$50,2)</f>
        <v>#DIV/0!</v>
      </c>
      <c r="AP50" t="e">
        <f>ROUND(SUMPRODUCT(AP46:AP49,$J$46:$J49,$O$46:$O$49,$D$46:$D$49)/$J$50,2)</f>
        <v>#DIV/0!</v>
      </c>
      <c r="AQ50" t="e">
        <f>ROUND(SUMPRODUCT(AQ46:AQ49,$J$46:$J49,$O$46:$O$49,$D$46:$D$49)/$J$50,2)</f>
        <v>#DIV/0!</v>
      </c>
      <c r="AR50" t="e">
        <f>ROUND(SUMPRODUCT(AR46:AR49,$J$46:$J49,$O$46:$O$49,$D$46:$D$49)/$J$50,2)</f>
        <v>#DIV/0!</v>
      </c>
      <c r="AS50" t="e">
        <f>ROUND(SUMPRODUCT(AS46:AS49,$J$46:$J49,$O$46:$O$49,$D$46:$D$49)/$J$50,2)</f>
        <v>#DIV/0!</v>
      </c>
      <c r="AT50" t="e">
        <f>ROUND(SUMPRODUCT(AT46:AT49,$J$46:$J49,$O$46:$O$49,$D$46:$D$49)/$J$50,2)</f>
        <v>#DIV/0!</v>
      </c>
      <c r="AU50" t="e">
        <f>ROUND(SUMPRODUCT(AU46:AU49,$J$46:$J49,$O$46:$O$49,$D$46:$D$49)/$J$50,2)</f>
        <v>#DIV/0!</v>
      </c>
      <c r="AV50" t="e">
        <f>ROUND(SUMPRODUCT(AV46:AV49,$J$46:$J49,$O$46:$O$49,$D$46:$D$49)/$J$50,2)</f>
        <v>#DIV/0!</v>
      </c>
      <c r="AW50" t="e">
        <f>ROUND(SUMPRODUCT(AW46:AW49,$J$46:$J49,$O$46:$O$49,$D$46:$D$49)/$J$50,2)</f>
        <v>#DIV/0!</v>
      </c>
      <c r="AX50" t="e">
        <f>ROUND(SUMPRODUCT(AX46:AX49,$J$46:$J49,$O$46:$O$49,$D$46:$D$49)/$J$50,2)</f>
        <v>#DIV/0!</v>
      </c>
    </row>
    <row r="51" spans="1:50" x14ac:dyDescent="0.25">
      <c r="A51" s="237"/>
      <c r="L51" s="186"/>
      <c r="M51" s="186"/>
      <c r="P51" s="187"/>
      <c r="V51" s="238"/>
      <c r="W51" s="218"/>
      <c r="X51" s="56"/>
    </row>
    <row r="52" spans="1:50" x14ac:dyDescent="0.25">
      <c r="A52" s="237"/>
      <c r="L52" s="186"/>
      <c r="M52" s="186"/>
      <c r="P52" s="187"/>
      <c r="V52" s="238"/>
      <c r="W52" s="218"/>
      <c r="X52" s="56"/>
    </row>
    <row r="53" spans="1:50" x14ac:dyDescent="0.25">
      <c r="L53" s="186"/>
      <c r="M53" s="186"/>
    </row>
    <row r="54" spans="1:50" x14ac:dyDescent="0.25">
      <c r="L54" s="186"/>
      <c r="M54" s="186"/>
    </row>
    <row r="55" spans="1:50" ht="15.75" thickBot="1" x14ac:dyDescent="0.3">
      <c r="L55" s="186"/>
      <c r="M55" s="186"/>
    </row>
    <row r="56" spans="1:50" x14ac:dyDescent="0.25">
      <c r="L56" s="186"/>
      <c r="M56" s="186"/>
      <c r="U56" s="95" t="s">
        <v>352</v>
      </c>
      <c r="V56">
        <v>1</v>
      </c>
    </row>
    <row r="57" spans="1:50" x14ac:dyDescent="0.25">
      <c r="L57" s="186"/>
      <c r="M57" s="186"/>
      <c r="U57" s="86" t="s">
        <v>354</v>
      </c>
      <c r="V57">
        <v>1</v>
      </c>
    </row>
    <row r="58" spans="1:50" x14ac:dyDescent="0.25">
      <c r="L58" s="186"/>
      <c r="M58" s="186"/>
      <c r="U58" s="86" t="s">
        <v>368</v>
      </c>
      <c r="V58">
        <v>1</v>
      </c>
    </row>
    <row r="59" spans="1:50" ht="15.75" thickBot="1" x14ac:dyDescent="0.3">
      <c r="L59" s="186"/>
      <c r="M59" s="186"/>
      <c r="U59" s="136" t="s">
        <v>369</v>
      </c>
      <c r="V59">
        <v>1</v>
      </c>
    </row>
    <row r="60" spans="1:50" x14ac:dyDescent="0.25">
      <c r="L60" s="186"/>
      <c r="M60" s="186"/>
      <c r="U60" s="218"/>
    </row>
    <row r="61" spans="1:50" x14ac:dyDescent="0.25">
      <c r="L61" s="186"/>
      <c r="M61" s="186"/>
      <c r="U61" s="218" t="s">
        <v>370</v>
      </c>
      <c r="V61" t="s">
        <v>340</v>
      </c>
    </row>
    <row r="62" spans="1:50" x14ac:dyDescent="0.25">
      <c r="L62" s="186"/>
      <c r="M62" s="186"/>
      <c r="U62" s="218" t="s">
        <v>338</v>
      </c>
      <c r="V62" s="55">
        <f>$V$50</f>
        <v>0</v>
      </c>
    </row>
    <row r="63" spans="1:50" x14ac:dyDescent="0.25">
      <c r="L63" s="186"/>
      <c r="M63" s="186"/>
      <c r="U63" s="218" t="s">
        <v>339</v>
      </c>
      <c r="V63" s="55">
        <f>$V$44</f>
        <v>0</v>
      </c>
    </row>
    <row r="64" spans="1:50" x14ac:dyDescent="0.25">
      <c r="L64" s="186"/>
      <c r="M64" s="186"/>
      <c r="U64" s="218" t="s">
        <v>371</v>
      </c>
      <c r="V64" s="253">
        <f>V63-V62</f>
        <v>0</v>
      </c>
    </row>
    <row r="65" spans="12:22" x14ac:dyDescent="0.25">
      <c r="L65" s="186"/>
      <c r="M65" s="186"/>
      <c r="U65" s="218"/>
    </row>
    <row r="66" spans="12:22" x14ac:dyDescent="0.25">
      <c r="L66" s="186"/>
      <c r="M66" s="186"/>
    </row>
    <row r="67" spans="12:22" x14ac:dyDescent="0.25">
      <c r="L67" s="186"/>
      <c r="M67" s="186"/>
      <c r="U67" s="218" t="s">
        <v>372</v>
      </c>
      <c r="V67" t="s">
        <v>340</v>
      </c>
    </row>
    <row r="68" spans="12:22" x14ac:dyDescent="0.25">
      <c r="L68" s="186"/>
      <c r="M68" s="186"/>
      <c r="U68" s="218" t="s">
        <v>338</v>
      </c>
      <c r="V68" s="55">
        <f>V62*3.14</f>
        <v>0</v>
      </c>
    </row>
    <row r="69" spans="12:22" x14ac:dyDescent="0.25">
      <c r="L69" s="186"/>
      <c r="M69" s="186"/>
      <c r="U69" s="218" t="s">
        <v>339</v>
      </c>
      <c r="V69" s="55">
        <f>V63*1.05</f>
        <v>0</v>
      </c>
    </row>
    <row r="70" spans="12:22" x14ac:dyDescent="0.25">
      <c r="L70" s="186"/>
      <c r="M70" s="186"/>
      <c r="U70" s="218" t="s">
        <v>371</v>
      </c>
      <c r="V70" s="254" t="e">
        <f>(V68-V69)/V68</f>
        <v>#DIV/0!</v>
      </c>
    </row>
    <row r="71" spans="12:22" x14ac:dyDescent="0.25">
      <c r="L71" s="186"/>
      <c r="M71" s="186"/>
      <c r="U71" s="218"/>
    </row>
    <row r="72" spans="12:22" x14ac:dyDescent="0.25">
      <c r="L72" s="186"/>
      <c r="M72" s="186"/>
      <c r="V72" s="218" t="e">
        <f>#REF!*1.05</f>
        <v>#REF!</v>
      </c>
    </row>
    <row r="73" spans="12:22" x14ac:dyDescent="0.25">
      <c r="L73" s="186"/>
      <c r="M73" s="186"/>
    </row>
    <row r="89" spans="14:15" ht="15.75" thickBot="1" x14ac:dyDescent="0.3"/>
    <row r="90" spans="14:15" ht="15.75" thickBot="1" x14ac:dyDescent="0.3">
      <c r="N90" s="486" t="s">
        <v>373</v>
      </c>
      <c r="O90" s="487"/>
    </row>
    <row r="91" spans="14:15" ht="15.75" thickBot="1" x14ac:dyDescent="0.3">
      <c r="N91" s="255" t="s">
        <v>374</v>
      </c>
      <c r="O91" s="256">
        <v>3.4119999999999999</v>
      </c>
    </row>
    <row r="92" spans="14:15" ht="15.75" thickBot="1" x14ac:dyDescent="0.3">
      <c r="N92" s="486" t="s">
        <v>375</v>
      </c>
      <c r="O92" s="487"/>
    </row>
    <row r="93" spans="14:15" x14ac:dyDescent="0.25">
      <c r="N93" s="255" t="s">
        <v>338</v>
      </c>
      <c r="O93" s="256">
        <v>2.8</v>
      </c>
    </row>
    <row r="94" spans="14:15" ht="15.75" thickBot="1" x14ac:dyDescent="0.3">
      <c r="N94" s="257" t="s">
        <v>339</v>
      </c>
      <c r="O94" s="258">
        <v>1.05</v>
      </c>
    </row>
    <row r="95" spans="14:15" x14ac:dyDescent="0.25">
      <c r="N95" s="259" t="s">
        <v>376</v>
      </c>
      <c r="O95" s="260">
        <v>283.60000000000002</v>
      </c>
    </row>
    <row r="96" spans="14:15" x14ac:dyDescent="0.25">
      <c r="N96" s="257" t="s">
        <v>377</v>
      </c>
      <c r="O96" s="258">
        <f>207+44</f>
        <v>251</v>
      </c>
    </row>
    <row r="97" spans="14:15" x14ac:dyDescent="0.25">
      <c r="N97" s="257" t="s">
        <v>378</v>
      </c>
      <c r="O97" s="258">
        <v>1</v>
      </c>
    </row>
    <row r="98" spans="14:15" ht="15.75" thickBot="1" x14ac:dyDescent="0.3">
      <c r="N98" s="257" t="s">
        <v>379</v>
      </c>
      <c r="O98" s="258">
        <v>0.3</v>
      </c>
    </row>
    <row r="99" spans="14:15" ht="15.75" thickBot="1" x14ac:dyDescent="0.3">
      <c r="N99" s="486" t="s">
        <v>380</v>
      </c>
      <c r="O99" s="487"/>
    </row>
    <row r="100" spans="14:15" ht="15.75" thickBot="1" x14ac:dyDescent="0.3">
      <c r="N100" s="261" t="s">
        <v>381</v>
      </c>
      <c r="O100" s="262">
        <v>1</v>
      </c>
    </row>
    <row r="101" spans="14:15" x14ac:dyDescent="0.25">
      <c r="N101" s="263" t="s">
        <v>267</v>
      </c>
      <c r="O101" s="256">
        <v>0.1</v>
      </c>
    </row>
    <row r="102" spans="14:15" x14ac:dyDescent="0.25">
      <c r="N102" s="264" t="s">
        <v>279</v>
      </c>
      <c r="O102" s="258">
        <v>0.41</v>
      </c>
    </row>
    <row r="103" spans="14:15" x14ac:dyDescent="0.25">
      <c r="N103" s="264" t="s">
        <v>285</v>
      </c>
      <c r="O103" s="258">
        <v>0.25</v>
      </c>
    </row>
    <row r="104" spans="14:15" x14ac:dyDescent="0.25">
      <c r="N104" s="264" t="s">
        <v>290</v>
      </c>
      <c r="O104" s="258">
        <v>0.18</v>
      </c>
    </row>
    <row r="105" spans="14:15" x14ac:dyDescent="0.25">
      <c r="N105" s="264" t="s">
        <v>315</v>
      </c>
      <c r="O105" s="258">
        <v>0.49</v>
      </c>
    </row>
    <row r="106" spans="14:15" x14ac:dyDescent="0.25">
      <c r="N106" s="265" t="s">
        <v>320</v>
      </c>
      <c r="O106" s="266">
        <v>0.08</v>
      </c>
    </row>
  </sheetData>
  <mergeCells count="10">
    <mergeCell ref="A46:A49"/>
    <mergeCell ref="N90:O90"/>
    <mergeCell ref="N92:O92"/>
    <mergeCell ref="N99:O99"/>
    <mergeCell ref="A3:A18"/>
    <mergeCell ref="A19:A24"/>
    <mergeCell ref="A28:A34"/>
    <mergeCell ref="E38:J38"/>
    <mergeCell ref="N38:O38"/>
    <mergeCell ref="A40:A43"/>
  </mergeCell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7DBF2-28CF-42D7-940B-EA532813CAD1}">
  <sheetPr>
    <tabColor rgb="FF00B0F0"/>
  </sheetPr>
  <dimension ref="A1:Q41"/>
  <sheetViews>
    <sheetView workbookViewId="0">
      <selection activeCell="G9" sqref="G9"/>
    </sheetView>
  </sheetViews>
  <sheetFormatPr defaultColWidth="9.140625" defaultRowHeight="12.75" x14ac:dyDescent="0.2"/>
  <cols>
    <col min="1" max="1" width="33.85546875" style="290" customWidth="1"/>
    <col min="2" max="2" width="13.140625" style="290" customWidth="1"/>
    <col min="3" max="3" width="15.5703125" style="290" customWidth="1"/>
    <col min="4" max="4" width="12.5703125" style="290" customWidth="1"/>
    <col min="5" max="5" width="9.140625" style="290"/>
    <col min="6" max="6" width="11" style="290" customWidth="1"/>
    <col min="7" max="7" width="41.42578125" style="290" customWidth="1"/>
    <col min="8" max="8" width="10" style="290" bestFit="1" customWidth="1"/>
    <col min="9" max="15" width="9.140625" style="290"/>
    <col min="16" max="16" width="15.7109375" style="290" customWidth="1"/>
    <col min="17" max="17" width="18.140625" style="290" customWidth="1"/>
    <col min="18" max="16384" width="9.140625" style="290"/>
  </cols>
  <sheetData>
    <row r="1" spans="1:17" x14ac:dyDescent="0.2">
      <c r="P1" s="304" t="s">
        <v>483</v>
      </c>
      <c r="Q1" s="304" t="s">
        <v>484</v>
      </c>
    </row>
    <row r="2" spans="1:17" ht="30" x14ac:dyDescent="0.25">
      <c r="N2" s="308" t="s">
        <v>403</v>
      </c>
      <c r="O2" s="309" t="s">
        <v>482</v>
      </c>
      <c r="P2" s="310" t="s">
        <v>477</v>
      </c>
      <c r="Q2" s="309" t="s">
        <v>477</v>
      </c>
    </row>
    <row r="3" spans="1:17" ht="15" x14ac:dyDescent="0.25">
      <c r="A3" s="304" t="s">
        <v>481</v>
      </c>
      <c r="N3" s="308"/>
      <c r="O3" s="311"/>
      <c r="P3" s="308" t="s">
        <v>408</v>
      </c>
      <c r="Q3" s="308" t="s">
        <v>408</v>
      </c>
    </row>
    <row r="4" spans="1:17" ht="15" x14ac:dyDescent="0.25">
      <c r="A4" s="290" t="s">
        <v>444</v>
      </c>
      <c r="B4" s="292">
        <v>82</v>
      </c>
      <c r="C4" s="290" t="s">
        <v>110</v>
      </c>
      <c r="N4" s="308"/>
      <c r="O4" s="311"/>
      <c r="P4" s="308" t="s">
        <v>409</v>
      </c>
      <c r="Q4" s="308" t="s">
        <v>409</v>
      </c>
    </row>
    <row r="5" spans="1:17" ht="15" x14ac:dyDescent="0.25">
      <c r="A5" s="290" t="s">
        <v>446</v>
      </c>
      <c r="B5" s="292">
        <v>82</v>
      </c>
      <c r="C5" s="290" t="s">
        <v>110</v>
      </c>
      <c r="N5" s="308">
        <v>1</v>
      </c>
      <c r="O5" s="290" t="s">
        <v>479</v>
      </c>
      <c r="P5" s="300">
        <f t="shared" ref="P5:P28" si="0">IF($O5="Inactive",$B$31/$B$30,1)</f>
        <v>0.8063921288744722</v>
      </c>
      <c r="Q5" s="300">
        <f t="shared" ref="Q5:Q28" si="1">IF($O5="Inactive",$H$31/$H$30,1)</f>
        <v>0.83333333333333337</v>
      </c>
    </row>
    <row r="6" spans="1:17" ht="15" x14ac:dyDescent="0.25">
      <c r="A6" s="291" t="s">
        <v>445</v>
      </c>
      <c r="B6" s="292">
        <v>14</v>
      </c>
      <c r="C6" s="291" t="s">
        <v>22</v>
      </c>
      <c r="N6" s="308">
        <v>2</v>
      </c>
      <c r="O6" s="290" t="s">
        <v>479</v>
      </c>
      <c r="P6" s="300">
        <f t="shared" si="0"/>
        <v>0.8063921288744722</v>
      </c>
      <c r="Q6" s="300">
        <f t="shared" si="1"/>
        <v>0.83333333333333337</v>
      </c>
    </row>
    <row r="7" spans="1:17" ht="15" x14ac:dyDescent="0.25">
      <c r="A7" s="291" t="s">
        <v>447</v>
      </c>
      <c r="B7" s="292">
        <v>82</v>
      </c>
      <c r="C7" s="291" t="s">
        <v>22</v>
      </c>
      <c r="N7" s="308">
        <v>3</v>
      </c>
      <c r="O7" s="290" t="s">
        <v>479</v>
      </c>
      <c r="P7" s="300">
        <f t="shared" si="0"/>
        <v>0.8063921288744722</v>
      </c>
      <c r="Q7" s="300">
        <f t="shared" si="1"/>
        <v>0.83333333333333337</v>
      </c>
    </row>
    <row r="8" spans="1:17" ht="15" x14ac:dyDescent="0.25">
      <c r="A8" s="291" t="s">
        <v>499</v>
      </c>
      <c r="B8" s="293">
        <f>B7*B6</f>
        <v>1148</v>
      </c>
      <c r="C8" s="291" t="s">
        <v>448</v>
      </c>
      <c r="N8" s="308">
        <v>4</v>
      </c>
      <c r="O8" s="290" t="s">
        <v>479</v>
      </c>
      <c r="P8" s="300">
        <f t="shared" si="0"/>
        <v>0.8063921288744722</v>
      </c>
      <c r="Q8" s="300">
        <f t="shared" si="1"/>
        <v>0.83333333333333337</v>
      </c>
    </row>
    <row r="9" spans="1:17" ht="15" x14ac:dyDescent="0.25">
      <c r="A9" s="291" t="s">
        <v>498</v>
      </c>
      <c r="B9" s="292">
        <v>1048.03</v>
      </c>
      <c r="C9" s="291" t="s">
        <v>459</v>
      </c>
      <c r="N9" s="308">
        <v>5</v>
      </c>
      <c r="O9" s="290" t="s">
        <v>479</v>
      </c>
      <c r="P9" s="300">
        <f t="shared" si="0"/>
        <v>0.8063921288744722</v>
      </c>
      <c r="Q9" s="300">
        <f t="shared" si="1"/>
        <v>0.83333333333333337</v>
      </c>
    </row>
    <row r="10" spans="1:17" ht="15" x14ac:dyDescent="0.25">
      <c r="A10" s="291" t="s">
        <v>457</v>
      </c>
      <c r="B10" s="290">
        <f>COUNTIF(O5:O28,"Active")</f>
        <v>15</v>
      </c>
      <c r="N10" s="308">
        <v>6</v>
      </c>
      <c r="O10" s="290" t="s">
        <v>479</v>
      </c>
      <c r="P10" s="300">
        <f t="shared" si="0"/>
        <v>0.8063921288744722</v>
      </c>
      <c r="Q10" s="300">
        <f t="shared" si="1"/>
        <v>0.83333333333333337</v>
      </c>
    </row>
    <row r="11" spans="1:17" ht="15" x14ac:dyDescent="0.25">
      <c r="A11" s="291" t="s">
        <v>468</v>
      </c>
      <c r="B11" s="290">
        <v>8.33</v>
      </c>
      <c r="C11" s="291" t="s">
        <v>469</v>
      </c>
      <c r="N11" s="308">
        <v>7</v>
      </c>
      <c r="O11" s="290" t="s">
        <v>478</v>
      </c>
      <c r="P11" s="300">
        <f t="shared" si="0"/>
        <v>1</v>
      </c>
      <c r="Q11" s="300">
        <f t="shared" si="1"/>
        <v>1</v>
      </c>
    </row>
    <row r="12" spans="1:17" ht="15" x14ac:dyDescent="0.25">
      <c r="A12" s="291" t="s">
        <v>470</v>
      </c>
      <c r="B12" s="292">
        <v>55</v>
      </c>
      <c r="C12" s="302" t="s">
        <v>110</v>
      </c>
      <c r="N12" s="308">
        <v>8</v>
      </c>
      <c r="O12" s="290" t="s">
        <v>478</v>
      </c>
      <c r="P12" s="300">
        <f t="shared" si="0"/>
        <v>1</v>
      </c>
      <c r="Q12" s="300">
        <f t="shared" si="1"/>
        <v>1</v>
      </c>
    </row>
    <row r="13" spans="1:17" ht="15" x14ac:dyDescent="0.25">
      <c r="A13" s="291" t="s">
        <v>463</v>
      </c>
      <c r="B13" s="290">
        <f>'Domestic Hot Water'!D10</f>
        <v>140</v>
      </c>
      <c r="C13" s="291" t="s">
        <v>110</v>
      </c>
      <c r="N13" s="308">
        <v>9</v>
      </c>
      <c r="O13" s="290" t="s">
        <v>478</v>
      </c>
      <c r="P13" s="300">
        <f t="shared" si="0"/>
        <v>1</v>
      </c>
      <c r="Q13" s="300">
        <f t="shared" si="1"/>
        <v>1</v>
      </c>
    </row>
    <row r="14" spans="1:17" ht="15" x14ac:dyDescent="0.25">
      <c r="A14" s="291" t="s">
        <v>464</v>
      </c>
      <c r="B14" s="296">
        <f>1-(B4-B12)/(B13-B12)</f>
        <v>0.68235294117647061</v>
      </c>
      <c r="N14" s="308">
        <v>10</v>
      </c>
      <c r="O14" s="290" t="s">
        <v>478</v>
      </c>
      <c r="P14" s="300">
        <f t="shared" si="0"/>
        <v>1</v>
      </c>
      <c r="Q14" s="300">
        <f t="shared" si="1"/>
        <v>1</v>
      </c>
    </row>
    <row r="15" spans="1:17" ht="15" x14ac:dyDescent="0.25">
      <c r="A15" s="291" t="s">
        <v>465</v>
      </c>
      <c r="B15" s="298">
        <f>1-B14</f>
        <v>0.31764705882352939</v>
      </c>
      <c r="N15" s="308">
        <v>11</v>
      </c>
      <c r="O15" s="290" t="s">
        <v>478</v>
      </c>
      <c r="P15" s="300">
        <f t="shared" si="0"/>
        <v>1</v>
      </c>
      <c r="Q15" s="300">
        <f t="shared" si="1"/>
        <v>1</v>
      </c>
    </row>
    <row r="16" spans="1:17" ht="15" x14ac:dyDescent="0.25">
      <c r="N16" s="308">
        <v>12</v>
      </c>
      <c r="O16" s="290" t="s">
        <v>478</v>
      </c>
      <c r="P16" s="300">
        <f t="shared" si="0"/>
        <v>1</v>
      </c>
      <c r="Q16" s="300">
        <f t="shared" si="1"/>
        <v>1</v>
      </c>
    </row>
    <row r="17" spans="1:17" ht="15" x14ac:dyDescent="0.25">
      <c r="N17" s="308">
        <v>13</v>
      </c>
      <c r="O17" s="290" t="s">
        <v>478</v>
      </c>
      <c r="P17" s="300">
        <f t="shared" si="0"/>
        <v>1</v>
      </c>
      <c r="Q17" s="300">
        <f t="shared" si="1"/>
        <v>1</v>
      </c>
    </row>
    <row r="18" spans="1:17" ht="15" x14ac:dyDescent="0.25">
      <c r="A18" s="304" t="s">
        <v>471</v>
      </c>
      <c r="B18" s="305"/>
      <c r="C18" s="305"/>
      <c r="G18" s="304" t="s">
        <v>485</v>
      </c>
      <c r="H18" s="305"/>
      <c r="I18" s="305"/>
      <c r="N18" s="308">
        <v>14</v>
      </c>
      <c r="O18" s="290" t="s">
        <v>478</v>
      </c>
      <c r="P18" s="300">
        <f t="shared" si="0"/>
        <v>1</v>
      </c>
      <c r="Q18" s="300">
        <f t="shared" si="1"/>
        <v>1</v>
      </c>
    </row>
    <row r="19" spans="1:17" ht="15" x14ac:dyDescent="0.25">
      <c r="N19" s="308">
        <v>15</v>
      </c>
      <c r="O19" s="290" t="s">
        <v>478</v>
      </c>
      <c r="P19" s="300">
        <f t="shared" si="0"/>
        <v>1</v>
      </c>
      <c r="Q19" s="300">
        <f t="shared" si="1"/>
        <v>1</v>
      </c>
    </row>
    <row r="20" spans="1:17" ht="15" x14ac:dyDescent="0.25">
      <c r="A20" s="303" t="s">
        <v>443</v>
      </c>
      <c r="B20" s="303"/>
      <c r="G20" s="303" t="s">
        <v>443</v>
      </c>
      <c r="H20" s="303"/>
      <c r="N20" s="308">
        <v>16</v>
      </c>
      <c r="O20" s="290" t="s">
        <v>478</v>
      </c>
      <c r="P20" s="300">
        <f t="shared" si="0"/>
        <v>1</v>
      </c>
      <c r="Q20" s="300">
        <f t="shared" si="1"/>
        <v>1</v>
      </c>
    </row>
    <row r="21" spans="1:17" ht="15" x14ac:dyDescent="0.25">
      <c r="A21" s="291" t="s">
        <v>449</v>
      </c>
      <c r="B21" s="290">
        <v>1.0329836361</v>
      </c>
      <c r="C21" s="291" t="s">
        <v>450</v>
      </c>
      <c r="G21" s="290" t="s">
        <v>491</v>
      </c>
      <c r="H21" s="292">
        <v>0.8</v>
      </c>
      <c r="N21" s="308">
        <v>17</v>
      </c>
      <c r="O21" s="290" t="s">
        <v>478</v>
      </c>
      <c r="P21" s="300">
        <f t="shared" si="0"/>
        <v>1</v>
      </c>
      <c r="Q21" s="300">
        <f t="shared" si="1"/>
        <v>1</v>
      </c>
    </row>
    <row r="22" spans="1:17" ht="15" x14ac:dyDescent="0.25">
      <c r="A22" s="291" t="s">
        <v>475</v>
      </c>
      <c r="B22" s="290">
        <v>0.66058600000000001</v>
      </c>
      <c r="C22" s="291" t="s">
        <v>450</v>
      </c>
      <c r="G22" s="291" t="s">
        <v>494</v>
      </c>
      <c r="H22" s="290">
        <v>3.5999999999999997E-2</v>
      </c>
      <c r="I22" s="290" t="s">
        <v>451</v>
      </c>
      <c r="J22" s="290" t="s">
        <v>452</v>
      </c>
      <c r="N22" s="308">
        <v>18</v>
      </c>
      <c r="O22" s="290" t="s">
        <v>478</v>
      </c>
      <c r="P22" s="300">
        <f t="shared" si="0"/>
        <v>1</v>
      </c>
      <c r="Q22" s="300">
        <f t="shared" si="1"/>
        <v>1</v>
      </c>
    </row>
    <row r="23" spans="1:17" ht="15" x14ac:dyDescent="0.25">
      <c r="A23" s="291" t="s">
        <v>476</v>
      </c>
      <c r="B23" s="290">
        <v>0.55250600000000005</v>
      </c>
      <c r="G23" s="290" t="s">
        <v>492</v>
      </c>
      <c r="H23" s="297">
        <f>H22*H21*B8</f>
        <v>33.062399999999997</v>
      </c>
      <c r="I23" s="290" t="s">
        <v>454</v>
      </c>
      <c r="N23" s="308">
        <v>19</v>
      </c>
      <c r="O23" s="290" t="s">
        <v>478</v>
      </c>
      <c r="P23" s="300">
        <f t="shared" si="0"/>
        <v>1</v>
      </c>
      <c r="Q23" s="300">
        <f t="shared" si="1"/>
        <v>1</v>
      </c>
    </row>
    <row r="24" spans="1:17" ht="15" x14ac:dyDescent="0.25">
      <c r="A24" s="291" t="s">
        <v>453</v>
      </c>
      <c r="B24" s="292">
        <v>0.8</v>
      </c>
      <c r="E24" s="291"/>
      <c r="G24" s="290" t="s">
        <v>493</v>
      </c>
      <c r="H24" s="290">
        <v>4.8000000000000001E-2</v>
      </c>
      <c r="I24" s="290" t="s">
        <v>451</v>
      </c>
      <c r="J24" s="290" t="s">
        <v>456</v>
      </c>
      <c r="N24" s="308">
        <v>20</v>
      </c>
      <c r="O24" s="290" t="s">
        <v>478</v>
      </c>
      <c r="P24" s="300">
        <f t="shared" si="0"/>
        <v>1</v>
      </c>
      <c r="Q24" s="300">
        <f t="shared" si="1"/>
        <v>1</v>
      </c>
    </row>
    <row r="25" spans="1:17" ht="15" x14ac:dyDescent="0.25">
      <c r="A25" s="291" t="s">
        <v>455</v>
      </c>
      <c r="B25" s="290">
        <v>0.5</v>
      </c>
      <c r="G25" s="290" t="s">
        <v>495</v>
      </c>
      <c r="H25" s="290">
        <f>H24*B8*0.5</f>
        <v>27.552</v>
      </c>
      <c r="I25" s="290" t="s">
        <v>454</v>
      </c>
      <c r="N25" s="308">
        <v>21</v>
      </c>
      <c r="O25" s="290" t="s">
        <v>478</v>
      </c>
      <c r="P25" s="300">
        <f t="shared" si="0"/>
        <v>1</v>
      </c>
      <c r="Q25" s="300">
        <f t="shared" si="1"/>
        <v>1</v>
      </c>
    </row>
    <row r="26" spans="1:17" ht="15" x14ac:dyDescent="0.25">
      <c r="N26" s="308">
        <v>22</v>
      </c>
      <c r="O26" s="290" t="s">
        <v>479</v>
      </c>
      <c r="P26" s="300">
        <f t="shared" si="0"/>
        <v>0.8063921288744722</v>
      </c>
      <c r="Q26" s="300">
        <f t="shared" si="1"/>
        <v>0.83333333333333337</v>
      </c>
    </row>
    <row r="27" spans="1:17" ht="15" x14ac:dyDescent="0.25">
      <c r="A27" s="291" t="s">
        <v>488</v>
      </c>
      <c r="B27" s="297">
        <f>0.1*$B$8*($B$21-B22)*B24</f>
        <v>34.200998899424</v>
      </c>
      <c r="C27" s="291" t="s">
        <v>454</v>
      </c>
      <c r="D27" s="291" t="s">
        <v>458</v>
      </c>
      <c r="N27" s="308">
        <v>23</v>
      </c>
      <c r="O27" s="290" t="s">
        <v>479</v>
      </c>
      <c r="P27" s="300">
        <f t="shared" si="0"/>
        <v>0.8063921288744722</v>
      </c>
      <c r="Q27" s="300">
        <f t="shared" si="1"/>
        <v>0.83333333333333337</v>
      </c>
    </row>
    <row r="28" spans="1:17" ht="15" x14ac:dyDescent="0.25">
      <c r="A28" s="291" t="s">
        <v>489</v>
      </c>
      <c r="B28" s="297">
        <f>0.1*$B$8*($B$21-B23)*B25</f>
        <v>27.579416312139998</v>
      </c>
      <c r="C28" s="291" t="s">
        <v>454</v>
      </c>
      <c r="D28" s="291" t="s">
        <v>458</v>
      </c>
      <c r="E28" s="291"/>
      <c r="N28" s="308">
        <v>24</v>
      </c>
      <c r="O28" s="290" t="s">
        <v>479</v>
      </c>
      <c r="P28" s="300">
        <f t="shared" si="0"/>
        <v>0.8063921288744722</v>
      </c>
      <c r="Q28" s="300">
        <f t="shared" si="1"/>
        <v>0.83333333333333337</v>
      </c>
    </row>
    <row r="29" spans="1:17" ht="15" x14ac:dyDescent="0.25">
      <c r="K29" s="302" t="s">
        <v>480</v>
      </c>
      <c r="N29" s="308"/>
      <c r="O29" s="311"/>
      <c r="P29" s="308" t="s">
        <v>410</v>
      </c>
      <c r="Q29" s="308" t="s">
        <v>410</v>
      </c>
    </row>
    <row r="30" spans="1:17" ht="15" x14ac:dyDescent="0.25">
      <c r="A30" s="312" t="s">
        <v>487</v>
      </c>
      <c r="B30" s="295">
        <f>$B$9*B27</f>
        <v>35843.672876563331</v>
      </c>
      <c r="C30" s="291" t="s">
        <v>460</v>
      </c>
      <c r="D30" s="293"/>
      <c r="G30" s="294" t="s">
        <v>496</v>
      </c>
      <c r="H30" s="295">
        <f>H23*$B$9</f>
        <v>34650.387071999998</v>
      </c>
      <c r="I30" s="291" t="s">
        <v>460</v>
      </c>
      <c r="K30" s="301">
        <f>1-H30/B30</f>
        <v>3.3291393119023072E-2</v>
      </c>
      <c r="N30" s="308"/>
      <c r="O30" s="311"/>
      <c r="P30" s="308" t="s">
        <v>411</v>
      </c>
      <c r="Q30" s="308" t="s">
        <v>411</v>
      </c>
    </row>
    <row r="31" spans="1:17" x14ac:dyDescent="0.2">
      <c r="A31" s="291" t="s">
        <v>490</v>
      </c>
      <c r="B31" s="293">
        <f>$B$9*B28</f>
        <v>28904.055677612079</v>
      </c>
      <c r="C31" s="291" t="s">
        <v>460</v>
      </c>
      <c r="G31" s="291" t="s">
        <v>497</v>
      </c>
      <c r="H31" s="293">
        <f>H25*$B$9</f>
        <v>28875.322560000001</v>
      </c>
      <c r="I31" s="291" t="s">
        <v>460</v>
      </c>
      <c r="K31" s="301">
        <f>1-H31/B31</f>
        <v>9.9408601798167684E-4</v>
      </c>
    </row>
    <row r="33" spans="1:11" x14ac:dyDescent="0.2">
      <c r="A33" s="306" t="s">
        <v>472</v>
      </c>
      <c r="B33" s="299"/>
      <c r="C33" s="299"/>
      <c r="G33" s="306" t="s">
        <v>472</v>
      </c>
      <c r="H33" s="299"/>
      <c r="I33" s="299"/>
    </row>
    <row r="34" spans="1:11" x14ac:dyDescent="0.2">
      <c r="G34" s="291"/>
      <c r="I34" s="291"/>
    </row>
    <row r="35" spans="1:11" x14ac:dyDescent="0.2">
      <c r="A35" s="290" t="s">
        <v>461</v>
      </c>
      <c r="B35" s="297">
        <f>B27/$B$11/60</f>
        <v>6.8429369546666674E-2</v>
      </c>
      <c r="C35" s="290" t="s">
        <v>424</v>
      </c>
      <c r="G35" s="290" t="s">
        <v>461</v>
      </c>
      <c r="H35" s="297">
        <f>H23/B11/60</f>
        <v>6.615126050420167E-2</v>
      </c>
      <c r="I35" s="290" t="s">
        <v>424</v>
      </c>
    </row>
    <row r="36" spans="1:11" x14ac:dyDescent="0.2">
      <c r="A36" s="290" t="s">
        <v>462</v>
      </c>
      <c r="B36" s="297">
        <f>B28/$B$11/60</f>
        <v>5.5180904986274502E-2</v>
      </c>
      <c r="C36" s="290" t="s">
        <v>424</v>
      </c>
      <c r="G36" s="290" t="s">
        <v>462</v>
      </c>
      <c r="H36" s="297">
        <f>H25/B11/60</f>
        <v>5.5126050420168063E-2</v>
      </c>
      <c r="I36" s="290" t="s">
        <v>424</v>
      </c>
      <c r="J36" s="297"/>
    </row>
    <row r="38" spans="1:11" x14ac:dyDescent="0.2">
      <c r="A38" s="294" t="s">
        <v>473</v>
      </c>
      <c r="B38" s="307">
        <f>B35*$B$15</f>
        <v>2.1736387973647058E-2</v>
      </c>
      <c r="C38" s="291" t="s">
        <v>424</v>
      </c>
      <c r="D38" s="295" t="s">
        <v>486</v>
      </c>
      <c r="G38" s="294" t="s">
        <v>473</v>
      </c>
      <c r="H38" s="307">
        <f>H35*$B$15</f>
        <v>2.1012753336628765E-2</v>
      </c>
      <c r="I38" s="291" t="s">
        <v>424</v>
      </c>
      <c r="K38" s="301">
        <f>1-H38/B38</f>
        <v>3.3291393119023183E-2</v>
      </c>
    </row>
    <row r="39" spans="1:11" x14ac:dyDescent="0.2">
      <c r="A39" s="291" t="s">
        <v>474</v>
      </c>
      <c r="B39" s="297">
        <f>B36*$B$15</f>
        <v>1.7528052172110724E-2</v>
      </c>
      <c r="C39" s="291" t="s">
        <v>424</v>
      </c>
      <c r="G39" s="291" t="s">
        <v>474</v>
      </c>
      <c r="H39" s="297">
        <f>H36*$B$15</f>
        <v>1.7510627780523973E-2</v>
      </c>
      <c r="I39" s="291" t="s">
        <v>424</v>
      </c>
      <c r="K39" s="301">
        <f>1-H39/B39</f>
        <v>9.9408601798178786E-4</v>
      </c>
    </row>
    <row r="40" spans="1:11" x14ac:dyDescent="0.2">
      <c r="A40" s="291" t="s">
        <v>466</v>
      </c>
      <c r="B40" s="297">
        <f>B38*($B$13-$B$12)*500.836/1000</f>
        <v>0.92534107660940745</v>
      </c>
      <c r="C40" s="290" t="s">
        <v>467</v>
      </c>
      <c r="G40" s="291" t="s">
        <v>466</v>
      </c>
      <c r="H40" s="297">
        <f>H38*($B$13-$B$12)*500.836/1000</f>
        <v>0.89453518305882351</v>
      </c>
      <c r="I40" s="290" t="s">
        <v>467</v>
      </c>
      <c r="K40" s="301">
        <f>1-H40/B40</f>
        <v>3.3291393119023183E-2</v>
      </c>
    </row>
    <row r="41" spans="1:11" x14ac:dyDescent="0.2">
      <c r="K41" s="301"/>
    </row>
  </sheetData>
  <conditionalFormatting sqref="O5:O28">
    <cfRule type="cellIs" dxfId="4" priority="1" operator="equal">
      <formula>"Active"</formula>
    </cfRule>
    <cfRule type="cellIs" dxfId="3" priority="2" operator="equal">
      <formula>"Inactive"</formula>
    </cfRule>
  </conditionalFormatting>
  <dataValidations disablePrompts="1" count="1">
    <dataValidation type="list" allowBlank="1" showInputMessage="1" showErrorMessage="1" sqref="O5:O28" xr:uid="{90110592-0795-4A74-8BB7-8A09478C91E2}">
      <formula1>"Active,Inactive"</formula1>
    </dataValidation>
  </dataValidations>
  <pageMargins left="0.75" right="0.75" top="1" bottom="1" header="0.5" footer="0.5"/>
  <pageSetup paperSize="9" orientation="portrait" horizontalDpi="4294967292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6EB10-ABDF-4D5A-89CB-EF5A54014538}">
  <dimension ref="B1:R39"/>
  <sheetViews>
    <sheetView topLeftCell="A9" workbookViewId="0">
      <selection activeCell="P29" sqref="P29"/>
    </sheetView>
  </sheetViews>
  <sheetFormatPr defaultRowHeight="15" x14ac:dyDescent="0.25"/>
  <cols>
    <col min="1" max="1" width="3.7109375" customWidth="1"/>
    <col min="2" max="2" width="24.140625" customWidth="1"/>
    <col min="4" max="4" width="14.42578125" customWidth="1"/>
    <col min="5" max="5" width="14.28515625" customWidth="1"/>
    <col min="6" max="6" width="12.85546875" customWidth="1"/>
    <col min="18" max="18" width="0" hidden="1" customWidth="1"/>
  </cols>
  <sheetData>
    <row r="1" spans="2:5" ht="15.75" thickBot="1" x14ac:dyDescent="0.3"/>
    <row r="2" spans="2:5" ht="15.75" thickBot="1" x14ac:dyDescent="0.3">
      <c r="B2" s="508" t="s">
        <v>500</v>
      </c>
      <c r="C2" s="509"/>
      <c r="D2" s="509"/>
      <c r="E2" s="510"/>
    </row>
    <row r="3" spans="2:5" x14ac:dyDescent="0.25">
      <c r="B3" s="313" t="s">
        <v>6</v>
      </c>
      <c r="C3" s="511"/>
      <c r="D3" s="512"/>
      <c r="E3" s="513"/>
    </row>
    <row r="4" spans="2:5" x14ac:dyDescent="0.25">
      <c r="B4" s="313" t="s">
        <v>501</v>
      </c>
      <c r="C4" s="500"/>
      <c r="D4" s="514"/>
      <c r="E4" s="501"/>
    </row>
    <row r="5" spans="2:5" x14ac:dyDescent="0.25">
      <c r="B5" s="313" t="s">
        <v>502</v>
      </c>
      <c r="C5" s="500"/>
      <c r="D5" s="514"/>
      <c r="E5" s="501"/>
    </row>
    <row r="6" spans="2:5" x14ac:dyDescent="0.25">
      <c r="B6" s="313" t="s">
        <v>503</v>
      </c>
      <c r="C6" s="500"/>
      <c r="D6" s="514"/>
      <c r="E6" s="501"/>
    </row>
    <row r="7" spans="2:5" x14ac:dyDescent="0.25">
      <c r="B7" s="313" t="s">
        <v>504</v>
      </c>
      <c r="C7" s="500"/>
      <c r="D7" s="514"/>
      <c r="E7" s="501"/>
    </row>
    <row r="8" spans="2:5" x14ac:dyDescent="0.25">
      <c r="B8" s="313" t="s">
        <v>505</v>
      </c>
      <c r="C8" s="500"/>
      <c r="D8" s="514"/>
      <c r="E8" s="501"/>
    </row>
    <row r="9" spans="2:5" ht="15.75" thickBot="1" x14ac:dyDescent="0.3">
      <c r="B9" s="314" t="s">
        <v>506</v>
      </c>
      <c r="C9" s="515"/>
      <c r="D9" s="516"/>
      <c r="E9" s="517"/>
    </row>
    <row r="10" spans="2:5" ht="15.75" thickBot="1" x14ac:dyDescent="0.3"/>
    <row r="11" spans="2:5" ht="15.75" thickBot="1" x14ac:dyDescent="0.3">
      <c r="B11" s="508" t="s">
        <v>507</v>
      </c>
      <c r="C11" s="509"/>
      <c r="D11" s="509"/>
      <c r="E11" s="510"/>
    </row>
    <row r="12" spans="2:5" x14ac:dyDescent="0.25">
      <c r="B12" s="518" t="s">
        <v>508</v>
      </c>
      <c r="C12" s="519"/>
      <c r="D12" s="511">
        <v>2019</v>
      </c>
      <c r="E12" s="513"/>
    </row>
    <row r="13" spans="2:5" x14ac:dyDescent="0.25">
      <c r="B13" s="498" t="s">
        <v>509</v>
      </c>
      <c r="C13" s="499"/>
      <c r="D13" s="500" t="s">
        <v>510</v>
      </c>
      <c r="E13" s="501"/>
    </row>
    <row r="14" spans="2:5" x14ac:dyDescent="0.25">
      <c r="B14" s="498" t="s">
        <v>511</v>
      </c>
      <c r="C14" s="499"/>
      <c r="D14" s="500" t="s">
        <v>512</v>
      </c>
      <c r="E14" s="501"/>
    </row>
    <row r="15" spans="2:5" x14ac:dyDescent="0.25">
      <c r="B15" s="498" t="s">
        <v>513</v>
      </c>
      <c r="C15" s="499"/>
      <c r="D15" s="500" t="s">
        <v>514</v>
      </c>
      <c r="E15" s="501"/>
    </row>
    <row r="16" spans="2:5" x14ac:dyDescent="0.25">
      <c r="B16" s="498" t="s">
        <v>515</v>
      </c>
      <c r="C16" s="499"/>
      <c r="D16" s="500" t="s">
        <v>514</v>
      </c>
      <c r="E16" s="501"/>
    </row>
    <row r="17" spans="2:18" x14ac:dyDescent="0.25">
      <c r="B17" s="498" t="s">
        <v>516</v>
      </c>
      <c r="C17" s="499"/>
      <c r="D17" s="500" t="s">
        <v>514</v>
      </c>
      <c r="E17" s="501"/>
    </row>
    <row r="18" spans="2:18" ht="15.75" thickBot="1" x14ac:dyDescent="0.3">
      <c r="B18" s="502" t="s">
        <v>517</v>
      </c>
      <c r="C18" s="503"/>
      <c r="D18" s="316" t="s">
        <v>514</v>
      </c>
      <c r="E18" s="317" t="s">
        <v>518</v>
      </c>
    </row>
    <row r="19" spans="2:18" ht="15.75" thickBot="1" x14ac:dyDescent="0.3"/>
    <row r="20" spans="2:18" ht="35.25" customHeight="1" x14ac:dyDescent="0.25">
      <c r="B20" s="505" t="s">
        <v>519</v>
      </c>
      <c r="C20" s="506"/>
      <c r="D20" s="506"/>
      <c r="E20" s="506"/>
      <c r="F20" s="507"/>
    </row>
    <row r="21" spans="2:18" ht="25.5" x14ac:dyDescent="0.25">
      <c r="B21" s="355"/>
      <c r="C21" s="356"/>
      <c r="D21" s="364" t="s">
        <v>605</v>
      </c>
      <c r="E21" s="365" t="s">
        <v>606</v>
      </c>
      <c r="F21" s="366" t="s">
        <v>608</v>
      </c>
    </row>
    <row r="22" spans="2:18" x14ac:dyDescent="0.25">
      <c r="B22" s="315" t="s">
        <v>520</v>
      </c>
      <c r="C22" s="362" t="s">
        <v>521</v>
      </c>
      <c r="D22" s="357">
        <f>'Electric Matching'!D64</f>
        <v>0</v>
      </c>
      <c r="E22" s="358" t="s">
        <v>512</v>
      </c>
      <c r="F22" s="358">
        <f>IF(E22=$R$22,IF(C22=$R$23,15%,"± 5.00%"),"N/A")</f>
        <v>0.15</v>
      </c>
      <c r="R22" t="s">
        <v>512</v>
      </c>
    </row>
    <row r="23" spans="2:18" x14ac:dyDescent="0.25">
      <c r="B23" s="315" t="s">
        <v>520</v>
      </c>
      <c r="C23" s="362" t="s">
        <v>522</v>
      </c>
      <c r="D23" s="357">
        <f>'Electric Matching'!K64</f>
        <v>0</v>
      </c>
      <c r="E23" s="358" t="s">
        <v>512</v>
      </c>
      <c r="F23" s="358" t="str">
        <f t="shared" ref="F23:F33" si="0">IF(E23=$R$22,IF(C23=$R$23,15%,"± 5.00%"),"N/A")</f>
        <v>± 5.00%</v>
      </c>
      <c r="R23" t="s">
        <v>521</v>
      </c>
    </row>
    <row r="24" spans="2:18" x14ac:dyDescent="0.25">
      <c r="B24" s="315" t="s">
        <v>523</v>
      </c>
      <c r="C24" s="362" t="s">
        <v>521</v>
      </c>
      <c r="D24" s="357">
        <f>'Electric Matching'!E64</f>
        <v>0</v>
      </c>
      <c r="E24" s="358" t="s">
        <v>512</v>
      </c>
      <c r="F24" s="358">
        <f t="shared" si="0"/>
        <v>0.15</v>
      </c>
    </row>
    <row r="25" spans="2:18" x14ac:dyDescent="0.25">
      <c r="B25" s="315" t="s">
        <v>523</v>
      </c>
      <c r="C25" s="362" t="s">
        <v>522</v>
      </c>
      <c r="D25" s="357">
        <f>'Electric Matching'!L64</f>
        <v>0</v>
      </c>
      <c r="E25" s="358" t="s">
        <v>512</v>
      </c>
      <c r="F25" s="358" t="str">
        <f t="shared" si="0"/>
        <v>± 5.00%</v>
      </c>
    </row>
    <row r="26" spans="2:18" x14ac:dyDescent="0.25">
      <c r="B26" s="315" t="s">
        <v>524</v>
      </c>
      <c r="C26" s="362" t="s">
        <v>521</v>
      </c>
      <c r="D26" s="358">
        <f>IF(EXACT(D15,"Yes"),'Gas Matching'!D64,0)</f>
        <v>0</v>
      </c>
      <c r="E26" s="358" t="str">
        <f>IF(EXACT(D15,"Yes"),"Yes","No")</f>
        <v>No</v>
      </c>
      <c r="F26" s="358" t="str">
        <f t="shared" si="0"/>
        <v>N/A</v>
      </c>
    </row>
    <row r="27" spans="2:18" x14ac:dyDescent="0.25">
      <c r="B27" s="315" t="s">
        <v>524</v>
      </c>
      <c r="C27" s="362" t="s">
        <v>522</v>
      </c>
      <c r="D27" s="358">
        <f>IF(EXACT(D15,"Yes"),'Gas Matching'!E64,0)</f>
        <v>0</v>
      </c>
      <c r="E27" s="358" t="str">
        <f>IF(EXACT(D15,"Yes"),"Yes","No")</f>
        <v>No</v>
      </c>
      <c r="F27" s="358" t="str">
        <f t="shared" si="0"/>
        <v>N/A</v>
      </c>
    </row>
    <row r="28" spans="2:18" x14ac:dyDescent="0.25">
      <c r="B28" s="315" t="s">
        <v>525</v>
      </c>
      <c r="C28" s="362" t="s">
        <v>521</v>
      </c>
      <c r="D28" s="358">
        <f>IF(EXACT(D16,"Yes"),'Steam Matching'!D64,0)</f>
        <v>0</v>
      </c>
      <c r="E28" s="358" t="str">
        <f>IF(EXACT(D16,"Yes"),"Yes","No")</f>
        <v>No</v>
      </c>
      <c r="F28" s="358" t="str">
        <f t="shared" si="0"/>
        <v>N/A</v>
      </c>
    </row>
    <row r="29" spans="2:18" x14ac:dyDescent="0.25">
      <c r="B29" s="315" t="s">
        <v>525</v>
      </c>
      <c r="C29" s="362" t="s">
        <v>522</v>
      </c>
      <c r="D29" s="358">
        <f>IF(EXACT(D16,"Yes"),'Steam Matching'!E64,0)</f>
        <v>0</v>
      </c>
      <c r="E29" s="358" t="str">
        <f>IF(EXACT(D16,"Yes"),"Yes","No")</f>
        <v>No</v>
      </c>
      <c r="F29" s="358" t="str">
        <f t="shared" si="0"/>
        <v>N/A</v>
      </c>
    </row>
    <row r="30" spans="2:18" x14ac:dyDescent="0.25">
      <c r="B30" s="315" t="s">
        <v>526</v>
      </c>
      <c r="C30" s="362" t="s">
        <v>521</v>
      </c>
      <c r="D30" s="358">
        <f>IF(EXACT(D17,"Yes"),'Fuel Oil Matching'!D64,0)</f>
        <v>0</v>
      </c>
      <c r="E30" s="358" t="str">
        <f>IF(EXACT(D17,"Yes"),"Yes","No")</f>
        <v>No</v>
      </c>
      <c r="F30" s="358" t="str">
        <f t="shared" si="0"/>
        <v>N/A</v>
      </c>
    </row>
    <row r="31" spans="2:18" x14ac:dyDescent="0.25">
      <c r="B31" s="315" t="s">
        <v>526</v>
      </c>
      <c r="C31" s="362" t="s">
        <v>522</v>
      </c>
      <c r="D31" s="358">
        <f>IF(EXACT(D17,"Yes"),'Fuel Oil Matching'!E64,0)</f>
        <v>0</v>
      </c>
      <c r="E31" s="358" t="str">
        <f>IF(EXACT(D17,"Yes"),"Yes","No")</f>
        <v>No</v>
      </c>
      <c r="F31" s="358" t="str">
        <f t="shared" si="0"/>
        <v>N/A</v>
      </c>
    </row>
    <row r="32" spans="2:18" x14ac:dyDescent="0.25">
      <c r="B32" s="315" t="str">
        <f>IF(E$18="Type?","N/A",E$18)</f>
        <v>N/A</v>
      </c>
      <c r="C32" s="362" t="s">
        <v>521</v>
      </c>
      <c r="D32" s="358">
        <f>IF(EXACT(D18,"Yes"),'Other Energy Matching'!D64,0)</f>
        <v>0</v>
      </c>
      <c r="E32" s="358" t="str">
        <f>IF(EXACT(D18,"Yes"),"Yes","No")</f>
        <v>No</v>
      </c>
      <c r="F32" s="358" t="str">
        <f t="shared" si="0"/>
        <v>N/A</v>
      </c>
    </row>
    <row r="33" spans="2:6" x14ac:dyDescent="0.25">
      <c r="B33" s="315" t="str">
        <f>IF(E$18="Type?","N/A",E$18)</f>
        <v>N/A</v>
      </c>
      <c r="C33" s="362" t="s">
        <v>522</v>
      </c>
      <c r="D33" s="358">
        <f>IF(EXACT(D18,"Yes"),'Other Energy Matching'!E64,0)</f>
        <v>0</v>
      </c>
      <c r="E33" s="358" t="str">
        <f>IF(EXACT(D18,"Yes"),"Yes","No")</f>
        <v>No</v>
      </c>
      <c r="F33" s="358" t="str">
        <f t="shared" si="0"/>
        <v>N/A</v>
      </c>
    </row>
    <row r="34" spans="2:6" x14ac:dyDescent="0.25">
      <c r="B34" s="498" t="s">
        <v>527</v>
      </c>
      <c r="C34" s="504"/>
      <c r="D34" s="359" t="str">
        <f>IF(AND(MAX(D22,D24,D26,D28,D30,D32)&lt;=0.15,MAX(D23,D25,D27,D29,D31,D33)&lt;=0.05,MIN(D23,D25,D27,D29,D31,D33)&gt;=-0.05), "Yes", "No")</f>
        <v>Yes</v>
      </c>
      <c r="E34" s="368"/>
      <c r="F34" s="369"/>
    </row>
    <row r="35" spans="2:6" x14ac:dyDescent="0.25">
      <c r="B35" s="315"/>
      <c r="C35" s="362"/>
      <c r="D35" s="360"/>
      <c r="E35" s="368"/>
      <c r="F35" s="369"/>
    </row>
    <row r="36" spans="2:6" x14ac:dyDescent="0.25">
      <c r="B36" s="315"/>
      <c r="C36" s="362"/>
      <c r="D36" s="361"/>
      <c r="E36" s="368"/>
      <c r="F36" s="369"/>
    </row>
    <row r="37" spans="2:6" x14ac:dyDescent="0.25">
      <c r="B37" s="315"/>
      <c r="C37" s="362"/>
      <c r="D37" s="361"/>
      <c r="E37" s="368"/>
      <c r="F37" s="369"/>
    </row>
    <row r="38" spans="2:6" x14ac:dyDescent="0.25">
      <c r="B38" s="315"/>
      <c r="C38" s="362"/>
      <c r="D38" s="359"/>
      <c r="E38" s="368"/>
      <c r="F38" s="369"/>
    </row>
    <row r="39" spans="2:6" ht="15.75" thickBot="1" x14ac:dyDescent="0.3">
      <c r="B39" s="318"/>
      <c r="C39" s="363"/>
      <c r="D39" s="367"/>
      <c r="E39" s="370"/>
      <c r="F39" s="371"/>
    </row>
  </sheetData>
  <mergeCells count="24">
    <mergeCell ref="B13:C13"/>
    <mergeCell ref="D13:E13"/>
    <mergeCell ref="B2:E2"/>
    <mergeCell ref="C3:E3"/>
    <mergeCell ref="C4:E4"/>
    <mergeCell ref="C5:E5"/>
    <mergeCell ref="C6:E6"/>
    <mergeCell ref="C7:E7"/>
    <mergeCell ref="C8:E8"/>
    <mergeCell ref="C9:E9"/>
    <mergeCell ref="B11:E11"/>
    <mergeCell ref="B12:C12"/>
    <mergeCell ref="D12:E12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B34:C34"/>
    <mergeCell ref="B20:F20"/>
  </mergeCells>
  <conditionalFormatting sqref="D26:D33">
    <cfRule type="expression" dxfId="2" priority="4">
      <formula>$E26="No"</formula>
    </cfRule>
  </conditionalFormatting>
  <conditionalFormatting sqref="D34">
    <cfRule type="cellIs" dxfId="1" priority="3" operator="equal">
      <formula>"No"</formula>
    </cfRule>
  </conditionalFormatting>
  <conditionalFormatting sqref="E22:F33">
    <cfRule type="expression" dxfId="0" priority="1">
      <formula>$E22="No"</formula>
    </cfRule>
  </conditionalFormatting>
  <dataValidations count="1">
    <dataValidation type="list" allowBlank="1" showInputMessage="1" showErrorMessage="1" sqref="D14:D18" xr:uid="{C1F43B2E-9CFB-4418-8507-05A792138B71}">
      <formula1>"Yes,No"</formula1>
    </dataValidation>
  </dataValidation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E317E-068F-4082-A584-5F65C983FEBD}">
  <dimension ref="B2:N64"/>
  <sheetViews>
    <sheetView topLeftCell="A42" workbookViewId="0">
      <selection activeCell="I50" sqref="I50:M50"/>
    </sheetView>
  </sheetViews>
  <sheetFormatPr defaultRowHeight="15" x14ac:dyDescent="0.25"/>
  <cols>
    <col min="1" max="1" width="3.140625" customWidth="1"/>
    <col min="4" max="4" width="12.85546875" customWidth="1"/>
    <col min="5" max="5" width="13.140625" customWidth="1"/>
    <col min="6" max="6" width="15" customWidth="1"/>
    <col min="8" max="8" width="3" customWidth="1"/>
    <col min="10" max="10" width="9.7109375" bestFit="1" customWidth="1"/>
    <col min="11" max="11" width="14.140625" customWidth="1"/>
    <col min="12" max="12" width="13.5703125" customWidth="1"/>
    <col min="13" max="13" width="13" customWidth="1"/>
    <col min="15" max="15" width="3.140625" customWidth="1"/>
  </cols>
  <sheetData>
    <row r="2" spans="2:14" ht="29.25" customHeight="1" x14ac:dyDescent="0.25">
      <c r="B2" s="520"/>
      <c r="C2" s="520"/>
      <c r="D2" s="351"/>
      <c r="E2" s="521" t="s">
        <v>561</v>
      </c>
      <c r="F2" s="522"/>
      <c r="G2" s="521"/>
      <c r="H2" s="350"/>
      <c r="I2" s="524" t="s">
        <v>560</v>
      </c>
      <c r="J2" s="525"/>
      <c r="K2" s="526"/>
    </row>
    <row r="3" spans="2:14" ht="33.75" x14ac:dyDescent="0.25">
      <c r="B3" s="523" t="s">
        <v>544</v>
      </c>
      <c r="C3" s="523"/>
      <c r="D3" s="347" t="s">
        <v>543</v>
      </c>
      <c r="E3" s="348" t="s">
        <v>559</v>
      </c>
      <c r="F3" s="347" t="s">
        <v>558</v>
      </c>
      <c r="G3" s="348" t="s">
        <v>557</v>
      </c>
      <c r="H3" s="349"/>
      <c r="I3" s="348" t="s">
        <v>559</v>
      </c>
      <c r="J3" s="348" t="s">
        <v>558</v>
      </c>
      <c r="K3" s="348" t="s">
        <v>557</v>
      </c>
      <c r="L3" s="348" t="s">
        <v>556</v>
      </c>
      <c r="M3" s="348" t="s">
        <v>555</v>
      </c>
      <c r="N3" s="348" t="s">
        <v>554</v>
      </c>
    </row>
    <row r="4" spans="2:14" x14ac:dyDescent="0.25">
      <c r="B4" s="523" t="s">
        <v>539</v>
      </c>
      <c r="C4" s="523"/>
      <c r="D4" s="347">
        <v>31</v>
      </c>
      <c r="E4" s="345">
        <v>1</v>
      </c>
      <c r="F4" s="345">
        <v>1</v>
      </c>
      <c r="G4" s="345">
        <v>0</v>
      </c>
      <c r="H4" s="346"/>
      <c r="I4" s="345">
        <v>1</v>
      </c>
      <c r="J4" s="345">
        <v>1</v>
      </c>
      <c r="K4" s="345">
        <v>0</v>
      </c>
      <c r="L4" s="342">
        <f t="shared" ref="L4:L16" si="0">1-E4/I4</f>
        <v>0</v>
      </c>
      <c r="M4" s="342">
        <f t="shared" ref="M4:M16" si="1">1-F4/J4</f>
        <v>0</v>
      </c>
      <c r="N4" s="342" t="e">
        <f t="shared" ref="N4:N16" si="2">1-G4/K4</f>
        <v>#DIV/0!</v>
      </c>
    </row>
    <row r="5" spans="2:14" x14ac:dyDescent="0.25">
      <c r="B5" s="523" t="s">
        <v>538</v>
      </c>
      <c r="C5" s="523"/>
      <c r="D5" s="347">
        <f>IF(ISEVEN('Matching Summary'!D12/2), 29, 28)</f>
        <v>28</v>
      </c>
      <c r="E5" s="345">
        <v>1</v>
      </c>
      <c r="F5" s="345">
        <v>1</v>
      </c>
      <c r="G5" s="345">
        <v>0</v>
      </c>
      <c r="H5" s="346"/>
      <c r="I5" s="345">
        <v>1</v>
      </c>
      <c r="J5" s="345">
        <v>1</v>
      </c>
      <c r="K5" s="345">
        <v>0</v>
      </c>
      <c r="L5" s="342">
        <f t="shared" si="0"/>
        <v>0</v>
      </c>
      <c r="M5" s="342">
        <f t="shared" si="1"/>
        <v>0</v>
      </c>
      <c r="N5" s="342" t="e">
        <f t="shared" si="2"/>
        <v>#DIV/0!</v>
      </c>
    </row>
    <row r="6" spans="2:14" x14ac:dyDescent="0.25">
      <c r="B6" s="523" t="s">
        <v>537</v>
      </c>
      <c r="C6" s="523"/>
      <c r="D6" s="347">
        <v>31</v>
      </c>
      <c r="E6" s="345">
        <v>1</v>
      </c>
      <c r="F6" s="345">
        <v>1</v>
      </c>
      <c r="G6" s="345">
        <v>0</v>
      </c>
      <c r="H6" s="346"/>
      <c r="I6" s="345">
        <v>1</v>
      </c>
      <c r="J6" s="345">
        <v>1</v>
      </c>
      <c r="K6" s="345">
        <v>0</v>
      </c>
      <c r="L6" s="342">
        <f t="shared" si="0"/>
        <v>0</v>
      </c>
      <c r="M6" s="342">
        <f t="shared" si="1"/>
        <v>0</v>
      </c>
      <c r="N6" s="342" t="e">
        <f t="shared" si="2"/>
        <v>#DIV/0!</v>
      </c>
    </row>
    <row r="7" spans="2:14" x14ac:dyDescent="0.25">
      <c r="B7" s="523" t="s">
        <v>536</v>
      </c>
      <c r="C7" s="523"/>
      <c r="D7" s="347">
        <v>30</v>
      </c>
      <c r="E7" s="345">
        <v>1</v>
      </c>
      <c r="F7" s="345">
        <v>1</v>
      </c>
      <c r="G7" s="345">
        <v>0</v>
      </c>
      <c r="H7" s="346"/>
      <c r="I7" s="345">
        <v>1</v>
      </c>
      <c r="J7" s="345">
        <v>1</v>
      </c>
      <c r="K7" s="345">
        <v>0</v>
      </c>
      <c r="L7" s="342">
        <f t="shared" si="0"/>
        <v>0</v>
      </c>
      <c r="M7" s="342">
        <f t="shared" si="1"/>
        <v>0</v>
      </c>
      <c r="N7" s="342" t="e">
        <f t="shared" si="2"/>
        <v>#DIV/0!</v>
      </c>
    </row>
    <row r="8" spans="2:14" ht="15" customHeight="1" x14ac:dyDescent="0.25">
      <c r="B8" s="523" t="s">
        <v>535</v>
      </c>
      <c r="C8" s="523"/>
      <c r="D8" s="347">
        <v>31</v>
      </c>
      <c r="E8" s="345">
        <v>1</v>
      </c>
      <c r="F8" s="345">
        <v>1</v>
      </c>
      <c r="G8" s="345">
        <v>0</v>
      </c>
      <c r="H8" s="346"/>
      <c r="I8" s="345">
        <v>1</v>
      </c>
      <c r="J8" s="345">
        <v>1</v>
      </c>
      <c r="K8" s="345">
        <v>0</v>
      </c>
      <c r="L8" s="342">
        <f t="shared" si="0"/>
        <v>0</v>
      </c>
      <c r="M8" s="342">
        <f t="shared" si="1"/>
        <v>0</v>
      </c>
      <c r="N8" s="342" t="e">
        <f t="shared" si="2"/>
        <v>#DIV/0!</v>
      </c>
    </row>
    <row r="9" spans="2:14" ht="15" customHeight="1" x14ac:dyDescent="0.25">
      <c r="B9" s="523" t="s">
        <v>534</v>
      </c>
      <c r="C9" s="523"/>
      <c r="D9" s="347">
        <v>30</v>
      </c>
      <c r="E9" s="345">
        <v>1</v>
      </c>
      <c r="F9" s="345">
        <v>1</v>
      </c>
      <c r="G9" s="345">
        <v>0</v>
      </c>
      <c r="H9" s="346"/>
      <c r="I9" s="345">
        <v>1</v>
      </c>
      <c r="J9" s="345">
        <v>1</v>
      </c>
      <c r="K9" s="345">
        <v>0</v>
      </c>
      <c r="L9" s="342">
        <f t="shared" si="0"/>
        <v>0</v>
      </c>
      <c r="M9" s="342">
        <f t="shared" si="1"/>
        <v>0</v>
      </c>
      <c r="N9" s="342" t="e">
        <f t="shared" si="2"/>
        <v>#DIV/0!</v>
      </c>
    </row>
    <row r="10" spans="2:14" x14ac:dyDescent="0.25">
      <c r="B10" s="523" t="s">
        <v>533</v>
      </c>
      <c r="C10" s="523"/>
      <c r="D10" s="347">
        <v>31</v>
      </c>
      <c r="E10" s="345">
        <v>1</v>
      </c>
      <c r="F10" s="345">
        <v>1</v>
      </c>
      <c r="G10" s="345">
        <v>0</v>
      </c>
      <c r="H10" s="346"/>
      <c r="I10" s="345">
        <v>1</v>
      </c>
      <c r="J10" s="345">
        <v>1</v>
      </c>
      <c r="K10" s="345">
        <v>0</v>
      </c>
      <c r="L10" s="342">
        <f t="shared" si="0"/>
        <v>0</v>
      </c>
      <c r="M10" s="342">
        <f t="shared" si="1"/>
        <v>0</v>
      </c>
      <c r="N10" s="342" t="e">
        <f t="shared" si="2"/>
        <v>#DIV/0!</v>
      </c>
    </row>
    <row r="11" spans="2:14" ht="15" customHeight="1" x14ac:dyDescent="0.25">
      <c r="B11" s="523" t="s">
        <v>532</v>
      </c>
      <c r="C11" s="523"/>
      <c r="D11" s="347">
        <v>31</v>
      </c>
      <c r="E11" s="345">
        <v>1</v>
      </c>
      <c r="F11" s="345">
        <v>1</v>
      </c>
      <c r="G11" s="345">
        <v>0</v>
      </c>
      <c r="H11" s="346"/>
      <c r="I11" s="345">
        <v>1</v>
      </c>
      <c r="J11" s="345">
        <v>1</v>
      </c>
      <c r="K11" s="345">
        <v>0</v>
      </c>
      <c r="L11" s="342">
        <f t="shared" si="0"/>
        <v>0</v>
      </c>
      <c r="M11" s="342">
        <f t="shared" si="1"/>
        <v>0</v>
      </c>
      <c r="N11" s="342" t="e">
        <f t="shared" si="2"/>
        <v>#DIV/0!</v>
      </c>
    </row>
    <row r="12" spans="2:14" ht="15" customHeight="1" x14ac:dyDescent="0.25">
      <c r="B12" s="523" t="s">
        <v>531</v>
      </c>
      <c r="C12" s="523"/>
      <c r="D12" s="347">
        <v>30</v>
      </c>
      <c r="E12" s="345">
        <v>1</v>
      </c>
      <c r="F12" s="345">
        <v>1</v>
      </c>
      <c r="G12" s="345">
        <v>0</v>
      </c>
      <c r="H12" s="346"/>
      <c r="I12" s="345">
        <v>1</v>
      </c>
      <c r="J12" s="345">
        <v>1</v>
      </c>
      <c r="K12" s="345">
        <v>0</v>
      </c>
      <c r="L12" s="342">
        <f t="shared" si="0"/>
        <v>0</v>
      </c>
      <c r="M12" s="342">
        <f t="shared" si="1"/>
        <v>0</v>
      </c>
      <c r="N12" s="342" t="e">
        <f t="shared" si="2"/>
        <v>#DIV/0!</v>
      </c>
    </row>
    <row r="13" spans="2:14" ht="15" customHeight="1" x14ac:dyDescent="0.25">
      <c r="B13" s="523" t="s">
        <v>530</v>
      </c>
      <c r="C13" s="523"/>
      <c r="D13" s="347">
        <v>31</v>
      </c>
      <c r="E13" s="345">
        <v>1</v>
      </c>
      <c r="F13" s="345">
        <v>1</v>
      </c>
      <c r="G13" s="345">
        <v>0</v>
      </c>
      <c r="H13" s="346"/>
      <c r="I13" s="345">
        <v>1</v>
      </c>
      <c r="J13" s="345">
        <v>1</v>
      </c>
      <c r="K13" s="345">
        <v>0</v>
      </c>
      <c r="L13" s="342">
        <f t="shared" si="0"/>
        <v>0</v>
      </c>
      <c r="M13" s="342">
        <f t="shared" si="1"/>
        <v>0</v>
      </c>
      <c r="N13" s="342" t="e">
        <f t="shared" si="2"/>
        <v>#DIV/0!</v>
      </c>
    </row>
    <row r="14" spans="2:14" ht="15" customHeight="1" x14ac:dyDescent="0.25">
      <c r="B14" s="523" t="s">
        <v>529</v>
      </c>
      <c r="C14" s="523"/>
      <c r="D14" s="347">
        <v>30</v>
      </c>
      <c r="E14" s="345">
        <v>1</v>
      </c>
      <c r="F14" s="345">
        <v>1</v>
      </c>
      <c r="G14" s="345">
        <v>0</v>
      </c>
      <c r="H14" s="346"/>
      <c r="I14" s="345">
        <v>1</v>
      </c>
      <c r="J14" s="345">
        <v>1</v>
      </c>
      <c r="K14" s="345">
        <v>0</v>
      </c>
      <c r="L14" s="342">
        <f t="shared" si="0"/>
        <v>0</v>
      </c>
      <c r="M14" s="342">
        <f t="shared" si="1"/>
        <v>0</v>
      </c>
      <c r="N14" s="342" t="e">
        <f t="shared" si="2"/>
        <v>#DIV/0!</v>
      </c>
    </row>
    <row r="15" spans="2:14" ht="15" customHeight="1" x14ac:dyDescent="0.25">
      <c r="B15" s="523" t="s">
        <v>528</v>
      </c>
      <c r="C15" s="523"/>
      <c r="D15" s="347">
        <v>31</v>
      </c>
      <c r="E15" s="345">
        <v>1</v>
      </c>
      <c r="F15" s="345">
        <v>1</v>
      </c>
      <c r="G15" s="345">
        <v>0</v>
      </c>
      <c r="H15" s="346"/>
      <c r="I15" s="345">
        <v>1</v>
      </c>
      <c r="J15" s="345">
        <v>1</v>
      </c>
      <c r="K15" s="345">
        <v>0</v>
      </c>
      <c r="L15" s="342">
        <f t="shared" si="0"/>
        <v>0</v>
      </c>
      <c r="M15" s="342">
        <f t="shared" si="1"/>
        <v>0</v>
      </c>
      <c r="N15" s="342" t="e">
        <f t="shared" si="2"/>
        <v>#DIV/0!</v>
      </c>
    </row>
    <row r="16" spans="2:14" x14ac:dyDescent="0.25">
      <c r="B16" s="533" t="s">
        <v>553</v>
      </c>
      <c r="C16" s="533"/>
      <c r="D16" s="343">
        <f>SUM(D4:D15)</f>
        <v>365</v>
      </c>
      <c r="E16" s="343">
        <f>SUM(E4:E15)</f>
        <v>12</v>
      </c>
      <c r="F16" s="343">
        <f>SUM(F4:F15)</f>
        <v>12</v>
      </c>
      <c r="G16" s="343">
        <f>SUM(G4:G15)</f>
        <v>0</v>
      </c>
      <c r="H16" s="344"/>
      <c r="I16" s="343">
        <f>SUM(I4:I15)</f>
        <v>12</v>
      </c>
      <c r="J16" s="343">
        <f>SUM(J4:J15)</f>
        <v>12</v>
      </c>
      <c r="K16" s="343">
        <f>SUM(K4:K15)</f>
        <v>0</v>
      </c>
      <c r="L16" s="342">
        <f t="shared" si="0"/>
        <v>0</v>
      </c>
      <c r="M16" s="342">
        <f t="shared" si="1"/>
        <v>0</v>
      </c>
      <c r="N16" s="342" t="e">
        <f t="shared" si="2"/>
        <v>#DIV/0!</v>
      </c>
    </row>
    <row r="34" spans="2:13" x14ac:dyDescent="0.25">
      <c r="B34" s="527" t="s">
        <v>552</v>
      </c>
      <c r="C34" s="528"/>
      <c r="D34" s="528"/>
      <c r="E34" s="528"/>
      <c r="F34" s="529"/>
      <c r="I34" s="527" t="s">
        <v>552</v>
      </c>
      <c r="J34" s="528"/>
      <c r="K34" s="528"/>
      <c r="L34" s="528"/>
      <c r="M34" s="529"/>
    </row>
    <row r="35" spans="2:13" ht="30.75" thickBot="1" x14ac:dyDescent="0.3">
      <c r="B35" s="341" t="s">
        <v>544</v>
      </c>
      <c r="C35" s="339" t="s">
        <v>543</v>
      </c>
      <c r="D35" s="339" t="s">
        <v>551</v>
      </c>
      <c r="E35" s="340" t="s">
        <v>550</v>
      </c>
      <c r="F35" s="339" t="s">
        <v>549</v>
      </c>
      <c r="I35" s="341" t="s">
        <v>544</v>
      </c>
      <c r="J35" s="339" t="s">
        <v>543</v>
      </c>
      <c r="K35" s="339" t="s">
        <v>551</v>
      </c>
      <c r="L35" s="340" t="s">
        <v>550</v>
      </c>
      <c r="M35" s="339" t="s">
        <v>549</v>
      </c>
    </row>
    <row r="36" spans="2:13" ht="15.75" thickTop="1" x14ac:dyDescent="0.25">
      <c r="B36" s="335" t="str">
        <f t="shared" ref="B36:B47" si="3">B4</f>
        <v>Jan</v>
      </c>
      <c r="C36" s="334">
        <f t="shared" ref="C36:C47" si="4">D4</f>
        <v>31</v>
      </c>
      <c r="D36" s="338">
        <f t="shared" ref="D36:D48" si="5">I4-E4</f>
        <v>0</v>
      </c>
      <c r="E36" s="338">
        <f t="shared" ref="E36:E48" si="6">J4-F4</f>
        <v>0</v>
      </c>
      <c r="F36" s="338">
        <f t="shared" ref="F36:F48" si="7">K4-G4</f>
        <v>0</v>
      </c>
      <c r="I36" s="335" t="str">
        <f t="shared" ref="I36:I47" si="8">B4</f>
        <v>Jan</v>
      </c>
      <c r="J36" s="334">
        <f t="shared" ref="J36:J47" si="9">D4</f>
        <v>31</v>
      </c>
      <c r="K36" s="337">
        <f t="shared" ref="K36:K48" si="10">D36/E4</f>
        <v>0</v>
      </c>
      <c r="L36" s="337">
        <f t="shared" ref="L36:L48" si="11">E36/F4</f>
        <v>0</v>
      </c>
      <c r="M36" s="337" t="e">
        <f t="shared" ref="M36:M48" si="12">F36/G4</f>
        <v>#DIV/0!</v>
      </c>
    </row>
    <row r="37" spans="2:13" x14ac:dyDescent="0.25">
      <c r="B37" s="335" t="str">
        <f t="shared" si="3"/>
        <v>Feb</v>
      </c>
      <c r="C37" s="334">
        <f t="shared" si="4"/>
        <v>28</v>
      </c>
      <c r="D37" s="338">
        <f t="shared" si="5"/>
        <v>0</v>
      </c>
      <c r="E37" s="338">
        <f t="shared" si="6"/>
        <v>0</v>
      </c>
      <c r="F37" s="338">
        <f t="shared" si="7"/>
        <v>0</v>
      </c>
      <c r="I37" s="335" t="str">
        <f t="shared" si="8"/>
        <v>Feb</v>
      </c>
      <c r="J37" s="334">
        <f t="shared" si="9"/>
        <v>28</v>
      </c>
      <c r="K37" s="337">
        <f t="shared" si="10"/>
        <v>0</v>
      </c>
      <c r="L37" s="337">
        <f t="shared" si="11"/>
        <v>0</v>
      </c>
      <c r="M37" s="337" t="e">
        <f t="shared" si="12"/>
        <v>#DIV/0!</v>
      </c>
    </row>
    <row r="38" spans="2:13" x14ac:dyDescent="0.25">
      <c r="B38" s="335" t="str">
        <f t="shared" si="3"/>
        <v>Mar</v>
      </c>
      <c r="C38" s="334">
        <f t="shared" si="4"/>
        <v>31</v>
      </c>
      <c r="D38" s="338">
        <f t="shared" si="5"/>
        <v>0</v>
      </c>
      <c r="E38" s="338">
        <f t="shared" si="6"/>
        <v>0</v>
      </c>
      <c r="F38" s="338">
        <f t="shared" si="7"/>
        <v>0</v>
      </c>
      <c r="I38" s="335" t="str">
        <f t="shared" si="8"/>
        <v>Mar</v>
      </c>
      <c r="J38" s="334">
        <f t="shared" si="9"/>
        <v>31</v>
      </c>
      <c r="K38" s="337">
        <f t="shared" si="10"/>
        <v>0</v>
      </c>
      <c r="L38" s="337">
        <f t="shared" si="11"/>
        <v>0</v>
      </c>
      <c r="M38" s="337" t="e">
        <f t="shared" si="12"/>
        <v>#DIV/0!</v>
      </c>
    </row>
    <row r="39" spans="2:13" x14ac:dyDescent="0.25">
      <c r="B39" s="335" t="str">
        <f t="shared" si="3"/>
        <v>Apr</v>
      </c>
      <c r="C39" s="334">
        <f t="shared" si="4"/>
        <v>30</v>
      </c>
      <c r="D39" s="338">
        <f t="shared" si="5"/>
        <v>0</v>
      </c>
      <c r="E39" s="338">
        <f t="shared" si="6"/>
        <v>0</v>
      </c>
      <c r="F39" s="338">
        <f t="shared" si="7"/>
        <v>0</v>
      </c>
      <c r="I39" s="335" t="str">
        <f t="shared" si="8"/>
        <v>Apr</v>
      </c>
      <c r="J39" s="334">
        <f t="shared" si="9"/>
        <v>30</v>
      </c>
      <c r="K39" s="337">
        <f t="shared" si="10"/>
        <v>0</v>
      </c>
      <c r="L39" s="337">
        <f t="shared" si="11"/>
        <v>0</v>
      </c>
      <c r="M39" s="337" t="e">
        <f t="shared" si="12"/>
        <v>#DIV/0!</v>
      </c>
    </row>
    <row r="40" spans="2:13" x14ac:dyDescent="0.25">
      <c r="B40" s="335" t="str">
        <f t="shared" si="3"/>
        <v>May</v>
      </c>
      <c r="C40" s="334">
        <f t="shared" si="4"/>
        <v>31</v>
      </c>
      <c r="D40" s="338">
        <f t="shared" si="5"/>
        <v>0</v>
      </c>
      <c r="E40" s="338">
        <f t="shared" si="6"/>
        <v>0</v>
      </c>
      <c r="F40" s="338">
        <f t="shared" si="7"/>
        <v>0</v>
      </c>
      <c r="I40" s="335" t="str">
        <f t="shared" si="8"/>
        <v>May</v>
      </c>
      <c r="J40" s="334">
        <f t="shared" si="9"/>
        <v>31</v>
      </c>
      <c r="K40" s="337">
        <f t="shared" si="10"/>
        <v>0</v>
      </c>
      <c r="L40" s="337">
        <f t="shared" si="11"/>
        <v>0</v>
      </c>
      <c r="M40" s="337" t="e">
        <f t="shared" si="12"/>
        <v>#DIV/0!</v>
      </c>
    </row>
    <row r="41" spans="2:13" x14ac:dyDescent="0.25">
      <c r="B41" s="335" t="str">
        <f t="shared" si="3"/>
        <v>Jun</v>
      </c>
      <c r="C41" s="334">
        <f t="shared" si="4"/>
        <v>30</v>
      </c>
      <c r="D41" s="338">
        <f t="shared" si="5"/>
        <v>0</v>
      </c>
      <c r="E41" s="338">
        <f t="shared" si="6"/>
        <v>0</v>
      </c>
      <c r="F41" s="338">
        <f t="shared" si="7"/>
        <v>0</v>
      </c>
      <c r="I41" s="335" t="str">
        <f t="shared" si="8"/>
        <v>Jun</v>
      </c>
      <c r="J41" s="334">
        <f t="shared" si="9"/>
        <v>30</v>
      </c>
      <c r="K41" s="337">
        <f t="shared" si="10"/>
        <v>0</v>
      </c>
      <c r="L41" s="337">
        <f t="shared" si="11"/>
        <v>0</v>
      </c>
      <c r="M41" s="337" t="e">
        <f t="shared" si="12"/>
        <v>#DIV/0!</v>
      </c>
    </row>
    <row r="42" spans="2:13" x14ac:dyDescent="0.25">
      <c r="B42" s="335" t="str">
        <f t="shared" si="3"/>
        <v>Jul</v>
      </c>
      <c r="C42" s="334">
        <f t="shared" si="4"/>
        <v>31</v>
      </c>
      <c r="D42" s="338">
        <f t="shared" si="5"/>
        <v>0</v>
      </c>
      <c r="E42" s="338">
        <f t="shared" si="6"/>
        <v>0</v>
      </c>
      <c r="F42" s="338">
        <f t="shared" si="7"/>
        <v>0</v>
      </c>
      <c r="I42" s="335" t="str">
        <f t="shared" si="8"/>
        <v>Jul</v>
      </c>
      <c r="J42" s="334">
        <f t="shared" si="9"/>
        <v>31</v>
      </c>
      <c r="K42" s="337">
        <f t="shared" si="10"/>
        <v>0</v>
      </c>
      <c r="L42" s="337">
        <f t="shared" si="11"/>
        <v>0</v>
      </c>
      <c r="M42" s="337" t="e">
        <f t="shared" si="12"/>
        <v>#DIV/0!</v>
      </c>
    </row>
    <row r="43" spans="2:13" x14ac:dyDescent="0.25">
      <c r="B43" s="335" t="str">
        <f t="shared" si="3"/>
        <v>Aug</v>
      </c>
      <c r="C43" s="334">
        <f t="shared" si="4"/>
        <v>31</v>
      </c>
      <c r="D43" s="338">
        <f t="shared" si="5"/>
        <v>0</v>
      </c>
      <c r="E43" s="338">
        <f t="shared" si="6"/>
        <v>0</v>
      </c>
      <c r="F43" s="338">
        <f t="shared" si="7"/>
        <v>0</v>
      </c>
      <c r="I43" s="335" t="str">
        <f t="shared" si="8"/>
        <v>Aug</v>
      </c>
      <c r="J43" s="334">
        <f t="shared" si="9"/>
        <v>31</v>
      </c>
      <c r="K43" s="337">
        <f t="shared" si="10"/>
        <v>0</v>
      </c>
      <c r="L43" s="337">
        <f t="shared" si="11"/>
        <v>0</v>
      </c>
      <c r="M43" s="337" t="e">
        <f t="shared" si="12"/>
        <v>#DIV/0!</v>
      </c>
    </row>
    <row r="44" spans="2:13" x14ac:dyDescent="0.25">
      <c r="B44" s="335" t="str">
        <f t="shared" si="3"/>
        <v>Sep</v>
      </c>
      <c r="C44" s="334">
        <f t="shared" si="4"/>
        <v>30</v>
      </c>
      <c r="D44" s="338">
        <f t="shared" si="5"/>
        <v>0</v>
      </c>
      <c r="E44" s="338">
        <f t="shared" si="6"/>
        <v>0</v>
      </c>
      <c r="F44" s="338">
        <f t="shared" si="7"/>
        <v>0</v>
      </c>
      <c r="I44" s="335" t="str">
        <f t="shared" si="8"/>
        <v>Sep</v>
      </c>
      <c r="J44" s="334">
        <f t="shared" si="9"/>
        <v>30</v>
      </c>
      <c r="K44" s="337">
        <f t="shared" si="10"/>
        <v>0</v>
      </c>
      <c r="L44" s="337">
        <f t="shared" si="11"/>
        <v>0</v>
      </c>
      <c r="M44" s="337" t="e">
        <f t="shared" si="12"/>
        <v>#DIV/0!</v>
      </c>
    </row>
    <row r="45" spans="2:13" x14ac:dyDescent="0.25">
      <c r="B45" s="335" t="str">
        <f t="shared" si="3"/>
        <v>Oct</v>
      </c>
      <c r="C45" s="334">
        <f t="shared" si="4"/>
        <v>31</v>
      </c>
      <c r="D45" s="338">
        <f t="shared" si="5"/>
        <v>0</v>
      </c>
      <c r="E45" s="338">
        <f t="shared" si="6"/>
        <v>0</v>
      </c>
      <c r="F45" s="338">
        <f t="shared" si="7"/>
        <v>0</v>
      </c>
      <c r="I45" s="335" t="str">
        <f t="shared" si="8"/>
        <v>Oct</v>
      </c>
      <c r="J45" s="334">
        <f t="shared" si="9"/>
        <v>31</v>
      </c>
      <c r="K45" s="337">
        <f t="shared" si="10"/>
        <v>0</v>
      </c>
      <c r="L45" s="337">
        <f t="shared" si="11"/>
        <v>0</v>
      </c>
      <c r="M45" s="337" t="e">
        <f t="shared" si="12"/>
        <v>#DIV/0!</v>
      </c>
    </row>
    <row r="46" spans="2:13" x14ac:dyDescent="0.25">
      <c r="B46" s="335" t="str">
        <f t="shared" si="3"/>
        <v>Nov</v>
      </c>
      <c r="C46" s="334">
        <f t="shared" si="4"/>
        <v>30</v>
      </c>
      <c r="D46" s="338">
        <f t="shared" si="5"/>
        <v>0</v>
      </c>
      <c r="E46" s="338">
        <f t="shared" si="6"/>
        <v>0</v>
      </c>
      <c r="F46" s="338">
        <f t="shared" si="7"/>
        <v>0</v>
      </c>
      <c r="I46" s="335" t="str">
        <f t="shared" si="8"/>
        <v>Nov</v>
      </c>
      <c r="J46" s="334">
        <f t="shared" si="9"/>
        <v>30</v>
      </c>
      <c r="K46" s="337">
        <f t="shared" si="10"/>
        <v>0</v>
      </c>
      <c r="L46" s="337">
        <f t="shared" si="11"/>
        <v>0</v>
      </c>
      <c r="M46" s="337" t="e">
        <f t="shared" si="12"/>
        <v>#DIV/0!</v>
      </c>
    </row>
    <row r="47" spans="2:13" ht="15.75" thickBot="1" x14ac:dyDescent="0.3">
      <c r="B47" s="335" t="str">
        <f t="shared" si="3"/>
        <v>Dec</v>
      </c>
      <c r="C47" s="334">
        <f t="shared" si="4"/>
        <v>31</v>
      </c>
      <c r="D47" s="336">
        <f t="shared" si="5"/>
        <v>0</v>
      </c>
      <c r="E47" s="336">
        <f t="shared" si="6"/>
        <v>0</v>
      </c>
      <c r="F47" s="336">
        <f t="shared" si="7"/>
        <v>0</v>
      </c>
      <c r="I47" s="335" t="str">
        <f t="shared" si="8"/>
        <v>Dec</v>
      </c>
      <c r="J47" s="334">
        <f t="shared" si="9"/>
        <v>31</v>
      </c>
      <c r="K47" s="333">
        <f t="shared" si="10"/>
        <v>0</v>
      </c>
      <c r="L47" s="333">
        <f t="shared" si="11"/>
        <v>0</v>
      </c>
      <c r="M47" s="333" t="e">
        <f t="shared" si="12"/>
        <v>#DIV/0!</v>
      </c>
    </row>
    <row r="48" spans="2:13" ht="15.75" thickTop="1" x14ac:dyDescent="0.25">
      <c r="B48" s="332"/>
      <c r="C48" s="331">
        <f>SUM(C36:C47)</f>
        <v>365</v>
      </c>
      <c r="D48" s="322">
        <f t="shared" si="5"/>
        <v>0</v>
      </c>
      <c r="E48" s="322">
        <f t="shared" si="6"/>
        <v>0</v>
      </c>
      <c r="F48" s="322">
        <f t="shared" si="7"/>
        <v>0</v>
      </c>
      <c r="I48" s="332"/>
      <c r="J48" s="331">
        <f>SUM(J36:J47)</f>
        <v>365</v>
      </c>
      <c r="K48" s="330">
        <f t="shared" si="10"/>
        <v>0</v>
      </c>
      <c r="L48" s="330">
        <f t="shared" si="11"/>
        <v>0</v>
      </c>
      <c r="M48" s="330" t="e">
        <f t="shared" si="12"/>
        <v>#DIV/0!</v>
      </c>
    </row>
    <row r="49" spans="2:13" ht="15.75" thickBot="1" x14ac:dyDescent="0.3"/>
    <row r="50" spans="2:13" ht="15.75" thickBot="1" x14ac:dyDescent="0.3">
      <c r="B50" s="530" t="s">
        <v>548</v>
      </c>
      <c r="C50" s="531"/>
      <c r="D50" s="531"/>
      <c r="E50" s="531"/>
      <c r="F50" s="532"/>
      <c r="I50" s="530" t="s">
        <v>607</v>
      </c>
      <c r="J50" s="531"/>
      <c r="K50" s="531"/>
      <c r="L50" s="531"/>
      <c r="M50" s="532"/>
    </row>
    <row r="51" spans="2:13" ht="30.75" thickBot="1" x14ac:dyDescent="0.3">
      <c r="B51" s="329" t="s">
        <v>544</v>
      </c>
      <c r="C51" s="328" t="s">
        <v>543</v>
      </c>
      <c r="D51" s="328" t="s">
        <v>547</v>
      </c>
      <c r="E51" s="328" t="s">
        <v>546</v>
      </c>
      <c r="F51" s="327" t="s">
        <v>545</v>
      </c>
      <c r="I51" s="329" t="s">
        <v>544</v>
      </c>
      <c r="J51" s="328" t="s">
        <v>543</v>
      </c>
      <c r="K51" s="328" t="s">
        <v>542</v>
      </c>
      <c r="L51" s="328" t="s">
        <v>541</v>
      </c>
      <c r="M51" s="327" t="s">
        <v>540</v>
      </c>
    </row>
    <row r="52" spans="2:13" x14ac:dyDescent="0.25">
      <c r="B52" s="324" t="s">
        <v>539</v>
      </c>
      <c r="C52" s="323">
        <f t="shared" ref="C52:C63" si="13">C36</f>
        <v>31</v>
      </c>
      <c r="D52" s="322">
        <f t="shared" ref="D52:D63" si="14">(E4-I4)^2</f>
        <v>0</v>
      </c>
      <c r="E52" s="322">
        <f t="shared" ref="E52:E63" si="15">(F4-J4)^2</f>
        <v>0</v>
      </c>
      <c r="F52" s="322">
        <f t="shared" ref="F52:F63" si="16">(G4-K4)^2</f>
        <v>0</v>
      </c>
      <c r="I52" s="324" t="str">
        <f t="shared" ref="I52:J63" si="17">I36</f>
        <v>Jan</v>
      </c>
      <c r="J52" s="323">
        <f t="shared" si="17"/>
        <v>31</v>
      </c>
      <c r="K52" s="322">
        <f t="shared" ref="K52:K63" si="18">I4-E4</f>
        <v>0</v>
      </c>
      <c r="L52" s="322">
        <f t="shared" ref="L52:L63" si="19">J4-F4</f>
        <v>0</v>
      </c>
      <c r="M52" s="322">
        <f t="shared" ref="M52:M63" si="20">K4-G4</f>
        <v>0</v>
      </c>
    </row>
    <row r="53" spans="2:13" x14ac:dyDescent="0.25">
      <c r="B53" s="326" t="s">
        <v>538</v>
      </c>
      <c r="C53" s="323">
        <f t="shared" si="13"/>
        <v>28</v>
      </c>
      <c r="D53" s="322">
        <f t="shared" si="14"/>
        <v>0</v>
      </c>
      <c r="E53" s="322">
        <f t="shared" si="15"/>
        <v>0</v>
      </c>
      <c r="F53" s="322">
        <f t="shared" si="16"/>
        <v>0</v>
      </c>
      <c r="I53" s="324" t="str">
        <f t="shared" si="17"/>
        <v>Feb</v>
      </c>
      <c r="J53" s="323">
        <f t="shared" si="17"/>
        <v>28</v>
      </c>
      <c r="K53" s="322">
        <f t="shared" si="18"/>
        <v>0</v>
      </c>
      <c r="L53" s="322">
        <f t="shared" si="19"/>
        <v>0</v>
      </c>
      <c r="M53" s="322">
        <f t="shared" si="20"/>
        <v>0</v>
      </c>
    </row>
    <row r="54" spans="2:13" x14ac:dyDescent="0.25">
      <c r="B54" s="326" t="s">
        <v>537</v>
      </c>
      <c r="C54" s="323">
        <f t="shared" si="13"/>
        <v>31</v>
      </c>
      <c r="D54" s="322">
        <f t="shared" si="14"/>
        <v>0</v>
      </c>
      <c r="E54" s="322">
        <f t="shared" si="15"/>
        <v>0</v>
      </c>
      <c r="F54" s="322">
        <f t="shared" si="16"/>
        <v>0</v>
      </c>
      <c r="I54" s="324" t="str">
        <f t="shared" si="17"/>
        <v>Mar</v>
      </c>
      <c r="J54" s="323">
        <f t="shared" si="17"/>
        <v>31</v>
      </c>
      <c r="K54" s="322">
        <f t="shared" si="18"/>
        <v>0</v>
      </c>
      <c r="L54" s="322">
        <f t="shared" si="19"/>
        <v>0</v>
      </c>
      <c r="M54" s="322">
        <f t="shared" si="20"/>
        <v>0</v>
      </c>
    </row>
    <row r="55" spans="2:13" x14ac:dyDescent="0.25">
      <c r="B55" s="326" t="s">
        <v>536</v>
      </c>
      <c r="C55" s="323">
        <f t="shared" si="13"/>
        <v>30</v>
      </c>
      <c r="D55" s="322">
        <f t="shared" si="14"/>
        <v>0</v>
      </c>
      <c r="E55" s="322">
        <f t="shared" si="15"/>
        <v>0</v>
      </c>
      <c r="F55" s="322">
        <f t="shared" si="16"/>
        <v>0</v>
      </c>
      <c r="I55" s="324" t="str">
        <f t="shared" si="17"/>
        <v>Apr</v>
      </c>
      <c r="J55" s="323">
        <f t="shared" si="17"/>
        <v>30</v>
      </c>
      <c r="K55" s="322">
        <f t="shared" si="18"/>
        <v>0</v>
      </c>
      <c r="L55" s="322">
        <f t="shared" si="19"/>
        <v>0</v>
      </c>
      <c r="M55" s="322">
        <f t="shared" si="20"/>
        <v>0</v>
      </c>
    </row>
    <row r="56" spans="2:13" x14ac:dyDescent="0.25">
      <c r="B56" s="326" t="s">
        <v>535</v>
      </c>
      <c r="C56" s="323">
        <f t="shared" si="13"/>
        <v>31</v>
      </c>
      <c r="D56" s="322">
        <f t="shared" si="14"/>
        <v>0</v>
      </c>
      <c r="E56" s="322">
        <f t="shared" si="15"/>
        <v>0</v>
      </c>
      <c r="F56" s="322">
        <f t="shared" si="16"/>
        <v>0</v>
      </c>
      <c r="I56" s="324" t="str">
        <f t="shared" si="17"/>
        <v>May</v>
      </c>
      <c r="J56" s="323">
        <f t="shared" si="17"/>
        <v>31</v>
      </c>
      <c r="K56" s="322">
        <f t="shared" si="18"/>
        <v>0</v>
      </c>
      <c r="L56" s="322">
        <f t="shared" si="19"/>
        <v>0</v>
      </c>
      <c r="M56" s="322">
        <f t="shared" si="20"/>
        <v>0</v>
      </c>
    </row>
    <row r="57" spans="2:13" x14ac:dyDescent="0.25">
      <c r="B57" s="326" t="s">
        <v>534</v>
      </c>
      <c r="C57" s="323">
        <f t="shared" si="13"/>
        <v>30</v>
      </c>
      <c r="D57" s="322">
        <f t="shared" si="14"/>
        <v>0</v>
      </c>
      <c r="E57" s="322">
        <f t="shared" si="15"/>
        <v>0</v>
      </c>
      <c r="F57" s="322">
        <f t="shared" si="16"/>
        <v>0</v>
      </c>
      <c r="I57" s="324" t="str">
        <f t="shared" si="17"/>
        <v>Jun</v>
      </c>
      <c r="J57" s="323">
        <f t="shared" si="17"/>
        <v>30</v>
      </c>
      <c r="K57" s="322">
        <f t="shared" si="18"/>
        <v>0</v>
      </c>
      <c r="L57" s="322">
        <f t="shared" si="19"/>
        <v>0</v>
      </c>
      <c r="M57" s="322">
        <f t="shared" si="20"/>
        <v>0</v>
      </c>
    </row>
    <row r="58" spans="2:13" x14ac:dyDescent="0.25">
      <c r="B58" s="326" t="s">
        <v>533</v>
      </c>
      <c r="C58" s="323">
        <f t="shared" si="13"/>
        <v>31</v>
      </c>
      <c r="D58" s="322">
        <f t="shared" si="14"/>
        <v>0</v>
      </c>
      <c r="E58" s="322">
        <f t="shared" si="15"/>
        <v>0</v>
      </c>
      <c r="F58" s="322">
        <f t="shared" si="16"/>
        <v>0</v>
      </c>
      <c r="I58" s="324" t="str">
        <f t="shared" si="17"/>
        <v>Jul</v>
      </c>
      <c r="J58" s="323">
        <f t="shared" si="17"/>
        <v>31</v>
      </c>
      <c r="K58" s="322">
        <f t="shared" si="18"/>
        <v>0</v>
      </c>
      <c r="L58" s="322">
        <f t="shared" si="19"/>
        <v>0</v>
      </c>
      <c r="M58" s="322">
        <f t="shared" si="20"/>
        <v>0</v>
      </c>
    </row>
    <row r="59" spans="2:13" x14ac:dyDescent="0.25">
      <c r="B59" s="326" t="s">
        <v>532</v>
      </c>
      <c r="C59" s="323">
        <f t="shared" si="13"/>
        <v>31</v>
      </c>
      <c r="D59" s="322">
        <f t="shared" si="14"/>
        <v>0</v>
      </c>
      <c r="E59" s="322">
        <f t="shared" si="15"/>
        <v>0</v>
      </c>
      <c r="F59" s="322">
        <f t="shared" si="16"/>
        <v>0</v>
      </c>
      <c r="I59" s="324" t="str">
        <f t="shared" si="17"/>
        <v>Aug</v>
      </c>
      <c r="J59" s="323">
        <f t="shared" si="17"/>
        <v>31</v>
      </c>
      <c r="K59" s="322">
        <f t="shared" si="18"/>
        <v>0</v>
      </c>
      <c r="L59" s="322">
        <f t="shared" si="19"/>
        <v>0</v>
      </c>
      <c r="M59" s="322">
        <f t="shared" si="20"/>
        <v>0</v>
      </c>
    </row>
    <row r="60" spans="2:13" x14ac:dyDescent="0.25">
      <c r="B60" s="326" t="s">
        <v>531</v>
      </c>
      <c r="C60" s="323">
        <f t="shared" si="13"/>
        <v>30</v>
      </c>
      <c r="D60" s="322">
        <f t="shared" si="14"/>
        <v>0</v>
      </c>
      <c r="E60" s="322">
        <f t="shared" si="15"/>
        <v>0</v>
      </c>
      <c r="F60" s="322">
        <f t="shared" si="16"/>
        <v>0</v>
      </c>
      <c r="I60" s="324" t="str">
        <f t="shared" si="17"/>
        <v>Sep</v>
      </c>
      <c r="J60" s="323">
        <f t="shared" si="17"/>
        <v>30</v>
      </c>
      <c r="K60" s="322">
        <f t="shared" si="18"/>
        <v>0</v>
      </c>
      <c r="L60" s="322">
        <f t="shared" si="19"/>
        <v>0</v>
      </c>
      <c r="M60" s="322">
        <f t="shared" si="20"/>
        <v>0</v>
      </c>
    </row>
    <row r="61" spans="2:13" x14ac:dyDescent="0.25">
      <c r="B61" s="326" t="s">
        <v>530</v>
      </c>
      <c r="C61" s="323">
        <f t="shared" si="13"/>
        <v>31</v>
      </c>
      <c r="D61" s="322">
        <f t="shared" si="14"/>
        <v>0</v>
      </c>
      <c r="E61" s="322">
        <f t="shared" si="15"/>
        <v>0</v>
      </c>
      <c r="F61" s="322">
        <f t="shared" si="16"/>
        <v>0</v>
      </c>
      <c r="I61" s="324" t="str">
        <f t="shared" si="17"/>
        <v>Oct</v>
      </c>
      <c r="J61" s="323">
        <f t="shared" si="17"/>
        <v>31</v>
      </c>
      <c r="K61" s="322">
        <f t="shared" si="18"/>
        <v>0</v>
      </c>
      <c r="L61" s="322">
        <f t="shared" si="19"/>
        <v>0</v>
      </c>
      <c r="M61" s="322">
        <f t="shared" si="20"/>
        <v>0</v>
      </c>
    </row>
    <row r="62" spans="2:13" x14ac:dyDescent="0.25">
      <c r="B62" s="326" t="s">
        <v>529</v>
      </c>
      <c r="C62" s="323">
        <f t="shared" si="13"/>
        <v>30</v>
      </c>
      <c r="D62" s="322">
        <f t="shared" si="14"/>
        <v>0</v>
      </c>
      <c r="E62" s="322">
        <f t="shared" si="15"/>
        <v>0</v>
      </c>
      <c r="F62" s="322">
        <f t="shared" si="16"/>
        <v>0</v>
      </c>
      <c r="I62" s="324" t="str">
        <f t="shared" si="17"/>
        <v>Nov</v>
      </c>
      <c r="J62" s="323">
        <f t="shared" si="17"/>
        <v>30</v>
      </c>
      <c r="K62" s="322">
        <f t="shared" si="18"/>
        <v>0</v>
      </c>
      <c r="L62" s="322">
        <f t="shared" si="19"/>
        <v>0</v>
      </c>
      <c r="M62" s="322">
        <f t="shared" si="20"/>
        <v>0</v>
      </c>
    </row>
    <row r="63" spans="2:13" ht="15.75" thickBot="1" x14ac:dyDescent="0.3">
      <c r="B63" s="325" t="s">
        <v>528</v>
      </c>
      <c r="C63" s="323">
        <f t="shared" si="13"/>
        <v>31</v>
      </c>
      <c r="D63" s="322">
        <f t="shared" si="14"/>
        <v>0</v>
      </c>
      <c r="E63" s="322">
        <f t="shared" si="15"/>
        <v>0</v>
      </c>
      <c r="F63" s="322">
        <f t="shared" si="16"/>
        <v>0</v>
      </c>
      <c r="I63" s="324" t="str">
        <f t="shared" si="17"/>
        <v>Dec</v>
      </c>
      <c r="J63" s="323">
        <f t="shared" si="17"/>
        <v>31</v>
      </c>
      <c r="K63" s="322">
        <f t="shared" si="18"/>
        <v>0</v>
      </c>
      <c r="L63" s="322">
        <f t="shared" si="19"/>
        <v>0</v>
      </c>
      <c r="M63" s="322">
        <f t="shared" si="20"/>
        <v>0</v>
      </c>
    </row>
    <row r="64" spans="2:13" ht="15.75" thickBot="1" x14ac:dyDescent="0.3">
      <c r="B64" s="321" t="s">
        <v>521</v>
      </c>
      <c r="C64" s="320"/>
      <c r="D64" s="319">
        <f>SQRT(SUM(D52:D63)/(12-1))/AVERAGE(E4:E15)</f>
        <v>0</v>
      </c>
      <c r="E64" s="319">
        <f>SQRT(SUM(E52:E63)/(12-1))/AVERAGE(F4:F15)</f>
        <v>0</v>
      </c>
      <c r="F64" s="319" t="e">
        <f>SQRT(SUM(F52:F63)/(12-1))/AVERAGE(G4:G15)</f>
        <v>#DIV/0!</v>
      </c>
      <c r="I64" s="321" t="s">
        <v>522</v>
      </c>
      <c r="J64" s="320"/>
      <c r="K64" s="319">
        <f>SUM(K52:K63)/((12-1)*AVERAGE(E4:E15))</f>
        <v>0</v>
      </c>
      <c r="L64" s="319">
        <f>SUM(L52:L63)/((12-1)*AVERAGE(F4:F15))</f>
        <v>0</v>
      </c>
      <c r="M64" s="319" t="e">
        <f>SUM(M52:M63)/((12-1)*AVERAGE(G4:G15))</f>
        <v>#DIV/0!</v>
      </c>
    </row>
  </sheetData>
  <mergeCells count="21">
    <mergeCell ref="B10:C10"/>
    <mergeCell ref="B34:F34"/>
    <mergeCell ref="I34:M34"/>
    <mergeCell ref="B50:F50"/>
    <mergeCell ref="I50:M50"/>
    <mergeCell ref="B11:C11"/>
    <mergeCell ref="B12:C12"/>
    <mergeCell ref="B15:C15"/>
    <mergeCell ref="B16:C16"/>
    <mergeCell ref="B13:C13"/>
    <mergeCell ref="B14:C14"/>
    <mergeCell ref="B5:C5"/>
    <mergeCell ref="B6:C6"/>
    <mergeCell ref="B7:C7"/>
    <mergeCell ref="B8:C8"/>
    <mergeCell ref="B9:C9"/>
    <mergeCell ref="B2:C2"/>
    <mergeCell ref="E2:G2"/>
    <mergeCell ref="B3:C3"/>
    <mergeCell ref="B4:C4"/>
    <mergeCell ref="I2:K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09B6-66A6-4252-92E5-B925C111119F}">
  <dimension ref="B2:N64"/>
  <sheetViews>
    <sheetView topLeftCell="A19" workbookViewId="0">
      <selection activeCell="I50" sqref="I50:M50"/>
    </sheetView>
  </sheetViews>
  <sheetFormatPr defaultRowHeight="15" x14ac:dyDescent="0.25"/>
  <cols>
    <col min="1" max="1" width="3.140625" customWidth="1"/>
    <col min="4" max="4" width="12.85546875" customWidth="1"/>
    <col min="5" max="5" width="15.42578125" customWidth="1"/>
    <col min="6" max="6" width="15" customWidth="1"/>
    <col min="8" max="8" width="3" customWidth="1"/>
    <col min="10" max="10" width="9.7109375" bestFit="1" customWidth="1"/>
    <col min="11" max="11" width="14.140625" customWidth="1"/>
    <col min="12" max="12" width="13.5703125" customWidth="1"/>
    <col min="13" max="13" width="13" customWidth="1"/>
    <col min="15" max="15" width="3.140625" customWidth="1"/>
  </cols>
  <sheetData>
    <row r="2" spans="2:14" ht="29.25" customHeight="1" x14ac:dyDescent="0.25">
      <c r="B2" s="520"/>
      <c r="C2" s="520"/>
      <c r="D2" s="351"/>
      <c r="E2" s="521" t="s">
        <v>561</v>
      </c>
      <c r="F2" s="522"/>
      <c r="G2" s="521"/>
      <c r="H2" s="350"/>
      <c r="I2" s="524" t="s">
        <v>560</v>
      </c>
      <c r="J2" s="525"/>
      <c r="K2" s="526"/>
    </row>
    <row r="3" spans="2:14" ht="33.75" x14ac:dyDescent="0.25">
      <c r="B3" s="523" t="s">
        <v>544</v>
      </c>
      <c r="C3" s="523"/>
      <c r="D3" s="347" t="s">
        <v>543</v>
      </c>
      <c r="E3" s="348" t="s">
        <v>573</v>
      </c>
      <c r="F3" s="347" t="s">
        <v>572</v>
      </c>
      <c r="G3" s="348" t="s">
        <v>571</v>
      </c>
      <c r="H3" s="349"/>
      <c r="I3" s="348" t="s">
        <v>573</v>
      </c>
      <c r="J3" s="347" t="s">
        <v>572</v>
      </c>
      <c r="K3" s="348" t="s">
        <v>571</v>
      </c>
      <c r="L3" s="348" t="s">
        <v>570</v>
      </c>
      <c r="M3" s="348" t="s">
        <v>569</v>
      </c>
      <c r="N3" s="348" t="s">
        <v>568</v>
      </c>
    </row>
    <row r="4" spans="2:14" x14ac:dyDescent="0.25">
      <c r="B4" s="523" t="s">
        <v>539</v>
      </c>
      <c r="C4" s="523"/>
      <c r="D4" s="347">
        <v>31</v>
      </c>
      <c r="E4" s="345">
        <v>1</v>
      </c>
      <c r="F4" s="345">
        <v>1</v>
      </c>
      <c r="G4" s="345">
        <v>0</v>
      </c>
      <c r="H4" s="346"/>
      <c r="I4" s="345">
        <v>2</v>
      </c>
      <c r="J4" s="345">
        <v>1</v>
      </c>
      <c r="K4" s="345">
        <v>0</v>
      </c>
      <c r="L4" s="342">
        <f t="shared" ref="L4:L16" si="0">1-E4/I4</f>
        <v>0.5</v>
      </c>
      <c r="M4" s="342">
        <f t="shared" ref="M4:M16" si="1">1-F4/J4</f>
        <v>0</v>
      </c>
      <c r="N4" s="342" t="e">
        <f t="shared" ref="N4:N16" si="2">1-G4/K4</f>
        <v>#DIV/0!</v>
      </c>
    </row>
    <row r="5" spans="2:14" x14ac:dyDescent="0.25">
      <c r="B5" s="523" t="s">
        <v>538</v>
      </c>
      <c r="C5" s="523"/>
      <c r="D5" s="347">
        <f>IF(ISEVEN('Matching Summary'!D12/2), 29, 28)</f>
        <v>28</v>
      </c>
      <c r="E5" s="345">
        <v>1</v>
      </c>
      <c r="F5" s="345">
        <v>1</v>
      </c>
      <c r="G5" s="345">
        <v>0</v>
      </c>
      <c r="H5" s="346"/>
      <c r="I5" s="345">
        <v>1</v>
      </c>
      <c r="J5" s="345">
        <v>1</v>
      </c>
      <c r="K5" s="345">
        <v>0</v>
      </c>
      <c r="L5" s="342">
        <f t="shared" si="0"/>
        <v>0</v>
      </c>
      <c r="M5" s="342">
        <f t="shared" si="1"/>
        <v>0</v>
      </c>
      <c r="N5" s="342" t="e">
        <f t="shared" si="2"/>
        <v>#DIV/0!</v>
      </c>
    </row>
    <row r="6" spans="2:14" x14ac:dyDescent="0.25">
      <c r="B6" s="523" t="s">
        <v>537</v>
      </c>
      <c r="C6" s="523"/>
      <c r="D6" s="347">
        <v>31</v>
      </c>
      <c r="E6" s="345">
        <v>1</v>
      </c>
      <c r="F6" s="345">
        <v>1</v>
      </c>
      <c r="G6" s="345">
        <v>0</v>
      </c>
      <c r="H6" s="346"/>
      <c r="I6" s="345">
        <v>1</v>
      </c>
      <c r="J6" s="345">
        <v>1</v>
      </c>
      <c r="K6" s="345">
        <v>0</v>
      </c>
      <c r="L6" s="342">
        <f t="shared" si="0"/>
        <v>0</v>
      </c>
      <c r="M6" s="342">
        <f t="shared" si="1"/>
        <v>0</v>
      </c>
      <c r="N6" s="342" t="e">
        <f t="shared" si="2"/>
        <v>#DIV/0!</v>
      </c>
    </row>
    <row r="7" spans="2:14" x14ac:dyDescent="0.25">
      <c r="B7" s="523" t="s">
        <v>536</v>
      </c>
      <c r="C7" s="523"/>
      <c r="D7" s="347">
        <v>30</v>
      </c>
      <c r="E7" s="345">
        <v>1</v>
      </c>
      <c r="F7" s="345">
        <v>1</v>
      </c>
      <c r="G7" s="345">
        <v>0</v>
      </c>
      <c r="H7" s="346"/>
      <c r="I7" s="345">
        <v>1</v>
      </c>
      <c r="J7" s="345">
        <v>1</v>
      </c>
      <c r="K7" s="345">
        <v>0</v>
      </c>
      <c r="L7" s="342">
        <f t="shared" si="0"/>
        <v>0</v>
      </c>
      <c r="M7" s="342">
        <f t="shared" si="1"/>
        <v>0</v>
      </c>
      <c r="N7" s="342" t="e">
        <f t="shared" si="2"/>
        <v>#DIV/0!</v>
      </c>
    </row>
    <row r="8" spans="2:14" ht="15" customHeight="1" x14ac:dyDescent="0.25">
      <c r="B8" s="523" t="s">
        <v>535</v>
      </c>
      <c r="C8" s="523"/>
      <c r="D8" s="347">
        <v>31</v>
      </c>
      <c r="E8" s="345">
        <v>1</v>
      </c>
      <c r="F8" s="345">
        <v>1</v>
      </c>
      <c r="G8" s="345">
        <v>0</v>
      </c>
      <c r="H8" s="346"/>
      <c r="I8" s="345">
        <v>1</v>
      </c>
      <c r="J8" s="345">
        <v>1</v>
      </c>
      <c r="K8" s="345">
        <v>0</v>
      </c>
      <c r="L8" s="342">
        <f t="shared" si="0"/>
        <v>0</v>
      </c>
      <c r="M8" s="342">
        <f t="shared" si="1"/>
        <v>0</v>
      </c>
      <c r="N8" s="342" t="e">
        <f t="shared" si="2"/>
        <v>#DIV/0!</v>
      </c>
    </row>
    <row r="9" spans="2:14" ht="15" customHeight="1" x14ac:dyDescent="0.25">
      <c r="B9" s="523" t="s">
        <v>534</v>
      </c>
      <c r="C9" s="523"/>
      <c r="D9" s="347">
        <v>30</v>
      </c>
      <c r="E9" s="345">
        <v>1</v>
      </c>
      <c r="F9" s="345">
        <v>1</v>
      </c>
      <c r="G9" s="345">
        <v>0</v>
      </c>
      <c r="H9" s="346"/>
      <c r="I9" s="345">
        <v>1</v>
      </c>
      <c r="J9" s="345">
        <v>1</v>
      </c>
      <c r="K9" s="345">
        <v>0</v>
      </c>
      <c r="L9" s="342">
        <f t="shared" si="0"/>
        <v>0</v>
      </c>
      <c r="M9" s="342">
        <f t="shared" si="1"/>
        <v>0</v>
      </c>
      <c r="N9" s="342" t="e">
        <f t="shared" si="2"/>
        <v>#DIV/0!</v>
      </c>
    </row>
    <row r="10" spans="2:14" x14ac:dyDescent="0.25">
      <c r="B10" s="523" t="s">
        <v>533</v>
      </c>
      <c r="C10" s="523"/>
      <c r="D10" s="347">
        <v>31</v>
      </c>
      <c r="E10" s="345">
        <v>1</v>
      </c>
      <c r="F10" s="345">
        <v>1</v>
      </c>
      <c r="G10" s="345">
        <v>0</v>
      </c>
      <c r="H10" s="346"/>
      <c r="I10" s="345">
        <v>1</v>
      </c>
      <c r="J10" s="345">
        <v>1</v>
      </c>
      <c r="K10" s="345">
        <v>0</v>
      </c>
      <c r="L10" s="342">
        <f t="shared" si="0"/>
        <v>0</v>
      </c>
      <c r="M10" s="342">
        <f t="shared" si="1"/>
        <v>0</v>
      </c>
      <c r="N10" s="342" t="e">
        <f t="shared" si="2"/>
        <v>#DIV/0!</v>
      </c>
    </row>
    <row r="11" spans="2:14" ht="15" customHeight="1" x14ac:dyDescent="0.25">
      <c r="B11" s="523" t="s">
        <v>532</v>
      </c>
      <c r="C11" s="523"/>
      <c r="D11" s="347">
        <v>31</v>
      </c>
      <c r="E11" s="345">
        <v>1</v>
      </c>
      <c r="F11" s="345">
        <v>1</v>
      </c>
      <c r="G11" s="345">
        <v>0</v>
      </c>
      <c r="H11" s="346"/>
      <c r="I11" s="345">
        <v>1</v>
      </c>
      <c r="J11" s="345">
        <v>1</v>
      </c>
      <c r="K11" s="345">
        <v>0</v>
      </c>
      <c r="L11" s="342">
        <f t="shared" si="0"/>
        <v>0</v>
      </c>
      <c r="M11" s="342">
        <f t="shared" si="1"/>
        <v>0</v>
      </c>
      <c r="N11" s="342" t="e">
        <f t="shared" si="2"/>
        <v>#DIV/0!</v>
      </c>
    </row>
    <row r="12" spans="2:14" ht="15" customHeight="1" x14ac:dyDescent="0.25">
      <c r="B12" s="523" t="s">
        <v>531</v>
      </c>
      <c r="C12" s="523"/>
      <c r="D12" s="347">
        <v>30</v>
      </c>
      <c r="E12" s="345">
        <v>1</v>
      </c>
      <c r="F12" s="345">
        <v>1</v>
      </c>
      <c r="G12" s="345">
        <v>0</v>
      </c>
      <c r="H12" s="346"/>
      <c r="I12" s="345">
        <v>1</v>
      </c>
      <c r="J12" s="345">
        <v>1</v>
      </c>
      <c r="K12" s="345">
        <v>0</v>
      </c>
      <c r="L12" s="342">
        <f t="shared" si="0"/>
        <v>0</v>
      </c>
      <c r="M12" s="342">
        <f t="shared" si="1"/>
        <v>0</v>
      </c>
      <c r="N12" s="342" t="e">
        <f t="shared" si="2"/>
        <v>#DIV/0!</v>
      </c>
    </row>
    <row r="13" spans="2:14" ht="15" customHeight="1" x14ac:dyDescent="0.25">
      <c r="B13" s="523" t="s">
        <v>530</v>
      </c>
      <c r="C13" s="523"/>
      <c r="D13" s="347">
        <v>31</v>
      </c>
      <c r="E13" s="345">
        <v>1</v>
      </c>
      <c r="F13" s="345">
        <v>1</v>
      </c>
      <c r="G13" s="345">
        <v>0</v>
      </c>
      <c r="H13" s="346"/>
      <c r="I13" s="345">
        <v>1</v>
      </c>
      <c r="J13" s="345">
        <v>1</v>
      </c>
      <c r="K13" s="345">
        <v>0</v>
      </c>
      <c r="L13" s="342">
        <f t="shared" si="0"/>
        <v>0</v>
      </c>
      <c r="M13" s="342">
        <f t="shared" si="1"/>
        <v>0</v>
      </c>
      <c r="N13" s="342" t="e">
        <f t="shared" si="2"/>
        <v>#DIV/0!</v>
      </c>
    </row>
    <row r="14" spans="2:14" ht="15" customHeight="1" x14ac:dyDescent="0.25">
      <c r="B14" s="523" t="s">
        <v>529</v>
      </c>
      <c r="C14" s="523"/>
      <c r="D14" s="347">
        <v>30</v>
      </c>
      <c r="E14" s="345">
        <v>1</v>
      </c>
      <c r="F14" s="345">
        <v>1</v>
      </c>
      <c r="G14" s="345">
        <v>0</v>
      </c>
      <c r="H14" s="346"/>
      <c r="I14" s="345">
        <v>1</v>
      </c>
      <c r="J14" s="345">
        <v>1</v>
      </c>
      <c r="K14" s="345">
        <v>0</v>
      </c>
      <c r="L14" s="342">
        <f t="shared" si="0"/>
        <v>0</v>
      </c>
      <c r="M14" s="342">
        <f t="shared" si="1"/>
        <v>0</v>
      </c>
      <c r="N14" s="342" t="e">
        <f t="shared" si="2"/>
        <v>#DIV/0!</v>
      </c>
    </row>
    <row r="15" spans="2:14" ht="15" customHeight="1" x14ac:dyDescent="0.25">
      <c r="B15" s="523" t="s">
        <v>528</v>
      </c>
      <c r="C15" s="523"/>
      <c r="D15" s="347">
        <v>31</v>
      </c>
      <c r="E15" s="345">
        <v>1</v>
      </c>
      <c r="F15" s="345">
        <v>1</v>
      </c>
      <c r="G15" s="345">
        <v>0</v>
      </c>
      <c r="H15" s="346"/>
      <c r="I15" s="345">
        <v>1</v>
      </c>
      <c r="J15" s="345">
        <v>1</v>
      </c>
      <c r="K15" s="345">
        <v>0</v>
      </c>
      <c r="L15" s="342">
        <f t="shared" si="0"/>
        <v>0</v>
      </c>
      <c r="M15" s="342">
        <f t="shared" si="1"/>
        <v>0</v>
      </c>
      <c r="N15" s="342" t="e">
        <f t="shared" si="2"/>
        <v>#DIV/0!</v>
      </c>
    </row>
    <row r="16" spans="2:14" x14ac:dyDescent="0.25">
      <c r="B16" s="533" t="s">
        <v>553</v>
      </c>
      <c r="C16" s="533"/>
      <c r="D16" s="343">
        <f>SUM(D4:D15)</f>
        <v>365</v>
      </c>
      <c r="E16" s="343">
        <f>SUM(E4:E15)</f>
        <v>12</v>
      </c>
      <c r="F16" s="343">
        <f>SUM(F4:F15)</f>
        <v>12</v>
      </c>
      <c r="G16" s="343">
        <f>SUM(G4:G15)</f>
        <v>0</v>
      </c>
      <c r="H16" s="344"/>
      <c r="I16" s="343">
        <f>SUM(I4:I15)</f>
        <v>13</v>
      </c>
      <c r="J16" s="343">
        <f>SUM(J4:J15)</f>
        <v>12</v>
      </c>
      <c r="K16" s="343">
        <f>SUM(K4:K15)</f>
        <v>0</v>
      </c>
      <c r="L16" s="342">
        <f t="shared" si="0"/>
        <v>7.6923076923076872E-2</v>
      </c>
      <c r="M16" s="342">
        <f t="shared" si="1"/>
        <v>0</v>
      </c>
      <c r="N16" s="342" t="e">
        <f t="shared" si="2"/>
        <v>#DIV/0!</v>
      </c>
    </row>
    <row r="34" spans="2:13" x14ac:dyDescent="0.25">
      <c r="B34" s="527" t="s">
        <v>552</v>
      </c>
      <c r="C34" s="528"/>
      <c r="D34" s="528"/>
      <c r="E34" s="528"/>
      <c r="F34" s="529"/>
      <c r="I34" s="527" t="s">
        <v>552</v>
      </c>
      <c r="J34" s="528"/>
      <c r="K34" s="528"/>
      <c r="L34" s="528"/>
      <c r="M34" s="529"/>
    </row>
    <row r="35" spans="2:13" ht="30.75" thickBot="1" x14ac:dyDescent="0.3">
      <c r="B35" s="341" t="s">
        <v>544</v>
      </c>
      <c r="C35" s="339" t="s">
        <v>543</v>
      </c>
      <c r="D35" s="339" t="s">
        <v>567</v>
      </c>
      <c r="E35" s="340" t="s">
        <v>566</v>
      </c>
      <c r="F35" s="339" t="s">
        <v>549</v>
      </c>
      <c r="I35" s="341" t="s">
        <v>544</v>
      </c>
      <c r="J35" s="339" t="s">
        <v>543</v>
      </c>
      <c r="K35" s="339" t="s">
        <v>567</v>
      </c>
      <c r="L35" s="340" t="s">
        <v>566</v>
      </c>
      <c r="M35" s="339" t="s">
        <v>549</v>
      </c>
    </row>
    <row r="36" spans="2:13" ht="15.75" thickTop="1" x14ac:dyDescent="0.25">
      <c r="B36" s="335" t="str">
        <f t="shared" ref="B36:B47" si="3">B4</f>
        <v>Jan</v>
      </c>
      <c r="C36" s="334">
        <f t="shared" ref="C36:C47" si="4">D4</f>
        <v>31</v>
      </c>
      <c r="D36" s="338">
        <f t="shared" ref="D36:D48" si="5">I4-E4</f>
        <v>1</v>
      </c>
      <c r="E36" s="338">
        <f t="shared" ref="E36:E48" si="6">J4-F4</f>
        <v>0</v>
      </c>
      <c r="F36" s="338">
        <f t="shared" ref="F36:F48" si="7">K4-G4</f>
        <v>0</v>
      </c>
      <c r="I36" s="335" t="str">
        <f t="shared" ref="I36:I47" si="8">B4</f>
        <v>Jan</v>
      </c>
      <c r="J36" s="334">
        <f t="shared" ref="J36:J47" si="9">D4</f>
        <v>31</v>
      </c>
      <c r="K36" s="337">
        <f t="shared" ref="K36:K48" si="10">D36/E4</f>
        <v>1</v>
      </c>
      <c r="L36" s="337">
        <f t="shared" ref="L36:L48" si="11">E36/F4</f>
        <v>0</v>
      </c>
      <c r="M36" s="337" t="e">
        <f t="shared" ref="M36:M48" si="12">F36/G4</f>
        <v>#DIV/0!</v>
      </c>
    </row>
    <row r="37" spans="2:13" x14ac:dyDescent="0.25">
      <c r="B37" s="335" t="str">
        <f t="shared" si="3"/>
        <v>Feb</v>
      </c>
      <c r="C37" s="334">
        <f t="shared" si="4"/>
        <v>28</v>
      </c>
      <c r="D37" s="338">
        <f t="shared" si="5"/>
        <v>0</v>
      </c>
      <c r="E37" s="338">
        <f t="shared" si="6"/>
        <v>0</v>
      </c>
      <c r="F37" s="338">
        <f t="shared" si="7"/>
        <v>0</v>
      </c>
      <c r="I37" s="335" t="str">
        <f t="shared" si="8"/>
        <v>Feb</v>
      </c>
      <c r="J37" s="334">
        <f t="shared" si="9"/>
        <v>28</v>
      </c>
      <c r="K37" s="337">
        <f t="shared" si="10"/>
        <v>0</v>
      </c>
      <c r="L37" s="337">
        <f t="shared" si="11"/>
        <v>0</v>
      </c>
      <c r="M37" s="337" t="e">
        <f t="shared" si="12"/>
        <v>#DIV/0!</v>
      </c>
    </row>
    <row r="38" spans="2:13" x14ac:dyDescent="0.25">
      <c r="B38" s="335" t="str">
        <f t="shared" si="3"/>
        <v>Mar</v>
      </c>
      <c r="C38" s="334">
        <f t="shared" si="4"/>
        <v>31</v>
      </c>
      <c r="D38" s="338">
        <f t="shared" si="5"/>
        <v>0</v>
      </c>
      <c r="E38" s="338">
        <f t="shared" si="6"/>
        <v>0</v>
      </c>
      <c r="F38" s="338">
        <f t="shared" si="7"/>
        <v>0</v>
      </c>
      <c r="I38" s="335" t="str">
        <f t="shared" si="8"/>
        <v>Mar</v>
      </c>
      <c r="J38" s="334">
        <f t="shared" si="9"/>
        <v>31</v>
      </c>
      <c r="K38" s="337">
        <f t="shared" si="10"/>
        <v>0</v>
      </c>
      <c r="L38" s="337">
        <f t="shared" si="11"/>
        <v>0</v>
      </c>
      <c r="M38" s="337" t="e">
        <f t="shared" si="12"/>
        <v>#DIV/0!</v>
      </c>
    </row>
    <row r="39" spans="2:13" x14ac:dyDescent="0.25">
      <c r="B39" s="335" t="str">
        <f t="shared" si="3"/>
        <v>Apr</v>
      </c>
      <c r="C39" s="334">
        <f t="shared" si="4"/>
        <v>30</v>
      </c>
      <c r="D39" s="338">
        <f t="shared" si="5"/>
        <v>0</v>
      </c>
      <c r="E39" s="338">
        <f t="shared" si="6"/>
        <v>0</v>
      </c>
      <c r="F39" s="338">
        <f t="shared" si="7"/>
        <v>0</v>
      </c>
      <c r="I39" s="335" t="str">
        <f t="shared" si="8"/>
        <v>Apr</v>
      </c>
      <c r="J39" s="334">
        <f t="shared" si="9"/>
        <v>30</v>
      </c>
      <c r="K39" s="337">
        <f t="shared" si="10"/>
        <v>0</v>
      </c>
      <c r="L39" s="337">
        <f t="shared" si="11"/>
        <v>0</v>
      </c>
      <c r="M39" s="337" t="e">
        <f t="shared" si="12"/>
        <v>#DIV/0!</v>
      </c>
    </row>
    <row r="40" spans="2:13" x14ac:dyDescent="0.25">
      <c r="B40" s="335" t="str">
        <f t="shared" si="3"/>
        <v>May</v>
      </c>
      <c r="C40" s="334">
        <f t="shared" si="4"/>
        <v>31</v>
      </c>
      <c r="D40" s="338">
        <f t="shared" si="5"/>
        <v>0</v>
      </c>
      <c r="E40" s="338">
        <f t="shared" si="6"/>
        <v>0</v>
      </c>
      <c r="F40" s="338">
        <f t="shared" si="7"/>
        <v>0</v>
      </c>
      <c r="I40" s="335" t="str">
        <f t="shared" si="8"/>
        <v>May</v>
      </c>
      <c r="J40" s="334">
        <f t="shared" si="9"/>
        <v>31</v>
      </c>
      <c r="K40" s="337">
        <f t="shared" si="10"/>
        <v>0</v>
      </c>
      <c r="L40" s="337">
        <f t="shared" si="11"/>
        <v>0</v>
      </c>
      <c r="M40" s="337" t="e">
        <f t="shared" si="12"/>
        <v>#DIV/0!</v>
      </c>
    </row>
    <row r="41" spans="2:13" x14ac:dyDescent="0.25">
      <c r="B41" s="335" t="str">
        <f t="shared" si="3"/>
        <v>Jun</v>
      </c>
      <c r="C41" s="334">
        <f t="shared" si="4"/>
        <v>30</v>
      </c>
      <c r="D41" s="338">
        <f t="shared" si="5"/>
        <v>0</v>
      </c>
      <c r="E41" s="338">
        <f t="shared" si="6"/>
        <v>0</v>
      </c>
      <c r="F41" s="338">
        <f t="shared" si="7"/>
        <v>0</v>
      </c>
      <c r="I41" s="335" t="str">
        <f t="shared" si="8"/>
        <v>Jun</v>
      </c>
      <c r="J41" s="334">
        <f t="shared" si="9"/>
        <v>30</v>
      </c>
      <c r="K41" s="337">
        <f t="shared" si="10"/>
        <v>0</v>
      </c>
      <c r="L41" s="337">
        <f t="shared" si="11"/>
        <v>0</v>
      </c>
      <c r="M41" s="337" t="e">
        <f t="shared" si="12"/>
        <v>#DIV/0!</v>
      </c>
    </row>
    <row r="42" spans="2:13" x14ac:dyDescent="0.25">
      <c r="B42" s="335" t="str">
        <f t="shared" si="3"/>
        <v>Jul</v>
      </c>
      <c r="C42" s="334">
        <f t="shared" si="4"/>
        <v>31</v>
      </c>
      <c r="D42" s="338">
        <f t="shared" si="5"/>
        <v>0</v>
      </c>
      <c r="E42" s="338">
        <f t="shared" si="6"/>
        <v>0</v>
      </c>
      <c r="F42" s="338">
        <f t="shared" si="7"/>
        <v>0</v>
      </c>
      <c r="I42" s="335" t="str">
        <f t="shared" si="8"/>
        <v>Jul</v>
      </c>
      <c r="J42" s="334">
        <f t="shared" si="9"/>
        <v>31</v>
      </c>
      <c r="K42" s="337">
        <f t="shared" si="10"/>
        <v>0</v>
      </c>
      <c r="L42" s="337">
        <f t="shared" si="11"/>
        <v>0</v>
      </c>
      <c r="M42" s="337" t="e">
        <f t="shared" si="12"/>
        <v>#DIV/0!</v>
      </c>
    </row>
    <row r="43" spans="2:13" x14ac:dyDescent="0.25">
      <c r="B43" s="335" t="str">
        <f t="shared" si="3"/>
        <v>Aug</v>
      </c>
      <c r="C43" s="334">
        <f t="shared" si="4"/>
        <v>31</v>
      </c>
      <c r="D43" s="338">
        <f t="shared" si="5"/>
        <v>0</v>
      </c>
      <c r="E43" s="338">
        <f t="shared" si="6"/>
        <v>0</v>
      </c>
      <c r="F43" s="338">
        <f t="shared" si="7"/>
        <v>0</v>
      </c>
      <c r="I43" s="335" t="str">
        <f t="shared" si="8"/>
        <v>Aug</v>
      </c>
      <c r="J43" s="334">
        <f t="shared" si="9"/>
        <v>31</v>
      </c>
      <c r="K43" s="337">
        <f t="shared" si="10"/>
        <v>0</v>
      </c>
      <c r="L43" s="337">
        <f t="shared" si="11"/>
        <v>0</v>
      </c>
      <c r="M43" s="337" t="e">
        <f t="shared" si="12"/>
        <v>#DIV/0!</v>
      </c>
    </row>
    <row r="44" spans="2:13" x14ac:dyDescent="0.25">
      <c r="B44" s="335" t="str">
        <f t="shared" si="3"/>
        <v>Sep</v>
      </c>
      <c r="C44" s="334">
        <f t="shared" si="4"/>
        <v>30</v>
      </c>
      <c r="D44" s="338">
        <f t="shared" si="5"/>
        <v>0</v>
      </c>
      <c r="E44" s="338">
        <f t="shared" si="6"/>
        <v>0</v>
      </c>
      <c r="F44" s="338">
        <f t="shared" si="7"/>
        <v>0</v>
      </c>
      <c r="I44" s="335" t="str">
        <f t="shared" si="8"/>
        <v>Sep</v>
      </c>
      <c r="J44" s="334">
        <f t="shared" si="9"/>
        <v>30</v>
      </c>
      <c r="K44" s="337">
        <f t="shared" si="10"/>
        <v>0</v>
      </c>
      <c r="L44" s="337">
        <f t="shared" si="11"/>
        <v>0</v>
      </c>
      <c r="M44" s="337" t="e">
        <f t="shared" si="12"/>
        <v>#DIV/0!</v>
      </c>
    </row>
    <row r="45" spans="2:13" x14ac:dyDescent="0.25">
      <c r="B45" s="335" t="str">
        <f t="shared" si="3"/>
        <v>Oct</v>
      </c>
      <c r="C45" s="334">
        <f t="shared" si="4"/>
        <v>31</v>
      </c>
      <c r="D45" s="338">
        <f t="shared" si="5"/>
        <v>0</v>
      </c>
      <c r="E45" s="338">
        <f t="shared" si="6"/>
        <v>0</v>
      </c>
      <c r="F45" s="338">
        <f t="shared" si="7"/>
        <v>0</v>
      </c>
      <c r="I45" s="335" t="str">
        <f t="shared" si="8"/>
        <v>Oct</v>
      </c>
      <c r="J45" s="334">
        <f t="shared" si="9"/>
        <v>31</v>
      </c>
      <c r="K45" s="337">
        <f t="shared" si="10"/>
        <v>0</v>
      </c>
      <c r="L45" s="337">
        <f t="shared" si="11"/>
        <v>0</v>
      </c>
      <c r="M45" s="337" t="e">
        <f t="shared" si="12"/>
        <v>#DIV/0!</v>
      </c>
    </row>
    <row r="46" spans="2:13" x14ac:dyDescent="0.25">
      <c r="B46" s="335" t="str">
        <f t="shared" si="3"/>
        <v>Nov</v>
      </c>
      <c r="C46" s="334">
        <f t="shared" si="4"/>
        <v>30</v>
      </c>
      <c r="D46" s="338">
        <f t="shared" si="5"/>
        <v>0</v>
      </c>
      <c r="E46" s="338">
        <f t="shared" si="6"/>
        <v>0</v>
      </c>
      <c r="F46" s="338">
        <f t="shared" si="7"/>
        <v>0</v>
      </c>
      <c r="I46" s="335" t="str">
        <f t="shared" si="8"/>
        <v>Nov</v>
      </c>
      <c r="J46" s="334">
        <f t="shared" si="9"/>
        <v>30</v>
      </c>
      <c r="K46" s="337">
        <f t="shared" si="10"/>
        <v>0</v>
      </c>
      <c r="L46" s="337">
        <f t="shared" si="11"/>
        <v>0</v>
      </c>
      <c r="M46" s="337" t="e">
        <f t="shared" si="12"/>
        <v>#DIV/0!</v>
      </c>
    </row>
    <row r="47" spans="2:13" ht="15.75" thickBot="1" x14ac:dyDescent="0.3">
      <c r="B47" s="335" t="str">
        <f t="shared" si="3"/>
        <v>Dec</v>
      </c>
      <c r="C47" s="334">
        <f t="shared" si="4"/>
        <v>31</v>
      </c>
      <c r="D47" s="336">
        <f t="shared" si="5"/>
        <v>0</v>
      </c>
      <c r="E47" s="336">
        <f t="shared" si="6"/>
        <v>0</v>
      </c>
      <c r="F47" s="336">
        <f t="shared" si="7"/>
        <v>0</v>
      </c>
      <c r="I47" s="335" t="str">
        <f t="shared" si="8"/>
        <v>Dec</v>
      </c>
      <c r="J47" s="334">
        <f t="shared" si="9"/>
        <v>31</v>
      </c>
      <c r="K47" s="333">
        <f t="shared" si="10"/>
        <v>0</v>
      </c>
      <c r="L47" s="333">
        <f t="shared" si="11"/>
        <v>0</v>
      </c>
      <c r="M47" s="333" t="e">
        <f t="shared" si="12"/>
        <v>#DIV/0!</v>
      </c>
    </row>
    <row r="48" spans="2:13" ht="15.75" thickTop="1" x14ac:dyDescent="0.25">
      <c r="B48" s="332"/>
      <c r="C48" s="331">
        <f>SUM(C36:C47)</f>
        <v>365</v>
      </c>
      <c r="D48" s="322">
        <f t="shared" si="5"/>
        <v>1</v>
      </c>
      <c r="E48" s="322">
        <f t="shared" si="6"/>
        <v>0</v>
      </c>
      <c r="F48" s="322">
        <f t="shared" si="7"/>
        <v>0</v>
      </c>
      <c r="I48" s="332"/>
      <c r="J48" s="331">
        <f>SUM(J36:J47)</f>
        <v>365</v>
      </c>
      <c r="K48" s="330">
        <f t="shared" si="10"/>
        <v>8.3333333333333329E-2</v>
      </c>
      <c r="L48" s="330">
        <f t="shared" si="11"/>
        <v>0</v>
      </c>
      <c r="M48" s="330" t="e">
        <f t="shared" si="12"/>
        <v>#DIV/0!</v>
      </c>
    </row>
    <row r="49" spans="2:13" ht="15.75" thickBot="1" x14ac:dyDescent="0.3"/>
    <row r="50" spans="2:13" ht="15.75" thickBot="1" x14ac:dyDescent="0.3">
      <c r="B50" s="530" t="s">
        <v>548</v>
      </c>
      <c r="C50" s="531"/>
      <c r="D50" s="531"/>
      <c r="E50" s="531"/>
      <c r="F50" s="532"/>
      <c r="I50" s="530" t="s">
        <v>607</v>
      </c>
      <c r="J50" s="531"/>
      <c r="K50" s="531"/>
      <c r="L50" s="531"/>
      <c r="M50" s="532"/>
    </row>
    <row r="51" spans="2:13" ht="30.75" thickBot="1" x14ac:dyDescent="0.3">
      <c r="B51" s="329" t="s">
        <v>544</v>
      </c>
      <c r="C51" s="328" t="s">
        <v>543</v>
      </c>
      <c r="D51" s="328" t="s">
        <v>565</v>
      </c>
      <c r="E51" s="328" t="s">
        <v>564</v>
      </c>
      <c r="F51" s="327" t="s">
        <v>545</v>
      </c>
      <c r="I51" s="329" t="s">
        <v>544</v>
      </c>
      <c r="J51" s="328" t="s">
        <v>543</v>
      </c>
      <c r="K51" s="328" t="s">
        <v>563</v>
      </c>
      <c r="L51" s="328" t="s">
        <v>562</v>
      </c>
      <c r="M51" s="327" t="s">
        <v>540</v>
      </c>
    </row>
    <row r="52" spans="2:13" x14ac:dyDescent="0.25">
      <c r="B52" s="324" t="s">
        <v>539</v>
      </c>
      <c r="C52" s="323">
        <f t="shared" ref="C52:C63" si="13">C36</f>
        <v>31</v>
      </c>
      <c r="D52" s="322">
        <f t="shared" ref="D52:D63" si="14">(E4-I4)^2</f>
        <v>1</v>
      </c>
      <c r="E52" s="322">
        <f t="shared" ref="E52:E63" si="15">(F4-J4)^2</f>
        <v>0</v>
      </c>
      <c r="F52" s="322">
        <f t="shared" ref="F52:F63" si="16">(G4-K4)^2</f>
        <v>0</v>
      </c>
      <c r="I52" s="324" t="str">
        <f t="shared" ref="I52:J63" si="17">I36</f>
        <v>Jan</v>
      </c>
      <c r="J52" s="323">
        <f t="shared" si="17"/>
        <v>31</v>
      </c>
      <c r="K52" s="322">
        <f t="shared" ref="K52:K63" si="18">I4-E4</f>
        <v>1</v>
      </c>
      <c r="L52" s="322">
        <f t="shared" ref="L52:L63" si="19">J4-F4</f>
        <v>0</v>
      </c>
      <c r="M52" s="322">
        <f t="shared" ref="M52:M63" si="20">K4-G4</f>
        <v>0</v>
      </c>
    </row>
    <row r="53" spans="2:13" x14ac:dyDescent="0.25">
      <c r="B53" s="326" t="s">
        <v>538</v>
      </c>
      <c r="C53" s="323">
        <f t="shared" si="13"/>
        <v>28</v>
      </c>
      <c r="D53" s="322">
        <f t="shared" si="14"/>
        <v>0</v>
      </c>
      <c r="E53" s="322">
        <f t="shared" si="15"/>
        <v>0</v>
      </c>
      <c r="F53" s="322">
        <f t="shared" si="16"/>
        <v>0</v>
      </c>
      <c r="I53" s="324" t="str">
        <f t="shared" si="17"/>
        <v>Feb</v>
      </c>
      <c r="J53" s="323">
        <f t="shared" si="17"/>
        <v>28</v>
      </c>
      <c r="K53" s="322">
        <f t="shared" si="18"/>
        <v>0</v>
      </c>
      <c r="L53" s="322">
        <f t="shared" si="19"/>
        <v>0</v>
      </c>
      <c r="M53" s="322">
        <f t="shared" si="20"/>
        <v>0</v>
      </c>
    </row>
    <row r="54" spans="2:13" x14ac:dyDescent="0.25">
      <c r="B54" s="326" t="s">
        <v>537</v>
      </c>
      <c r="C54" s="323">
        <f t="shared" si="13"/>
        <v>31</v>
      </c>
      <c r="D54" s="322">
        <f t="shared" si="14"/>
        <v>0</v>
      </c>
      <c r="E54" s="322">
        <f t="shared" si="15"/>
        <v>0</v>
      </c>
      <c r="F54" s="322">
        <f t="shared" si="16"/>
        <v>0</v>
      </c>
      <c r="I54" s="324" t="str">
        <f t="shared" si="17"/>
        <v>Mar</v>
      </c>
      <c r="J54" s="323">
        <f t="shared" si="17"/>
        <v>31</v>
      </c>
      <c r="K54" s="322">
        <f t="shared" si="18"/>
        <v>0</v>
      </c>
      <c r="L54" s="322">
        <f t="shared" si="19"/>
        <v>0</v>
      </c>
      <c r="M54" s="322">
        <f t="shared" si="20"/>
        <v>0</v>
      </c>
    </row>
    <row r="55" spans="2:13" x14ac:dyDescent="0.25">
      <c r="B55" s="326" t="s">
        <v>536</v>
      </c>
      <c r="C55" s="323">
        <f t="shared" si="13"/>
        <v>30</v>
      </c>
      <c r="D55" s="322">
        <f t="shared" si="14"/>
        <v>0</v>
      </c>
      <c r="E55" s="322">
        <f t="shared" si="15"/>
        <v>0</v>
      </c>
      <c r="F55" s="322">
        <f t="shared" si="16"/>
        <v>0</v>
      </c>
      <c r="I55" s="324" t="str">
        <f t="shared" si="17"/>
        <v>Apr</v>
      </c>
      <c r="J55" s="323">
        <f t="shared" si="17"/>
        <v>30</v>
      </c>
      <c r="K55" s="322">
        <f t="shared" si="18"/>
        <v>0</v>
      </c>
      <c r="L55" s="322">
        <f t="shared" si="19"/>
        <v>0</v>
      </c>
      <c r="M55" s="322">
        <f t="shared" si="20"/>
        <v>0</v>
      </c>
    </row>
    <row r="56" spans="2:13" x14ac:dyDescent="0.25">
      <c r="B56" s="326" t="s">
        <v>535</v>
      </c>
      <c r="C56" s="323">
        <f t="shared" si="13"/>
        <v>31</v>
      </c>
      <c r="D56" s="322">
        <f t="shared" si="14"/>
        <v>0</v>
      </c>
      <c r="E56" s="322">
        <f t="shared" si="15"/>
        <v>0</v>
      </c>
      <c r="F56" s="322">
        <f t="shared" si="16"/>
        <v>0</v>
      </c>
      <c r="I56" s="324" t="str">
        <f t="shared" si="17"/>
        <v>May</v>
      </c>
      <c r="J56" s="323">
        <f t="shared" si="17"/>
        <v>31</v>
      </c>
      <c r="K56" s="322">
        <f t="shared" si="18"/>
        <v>0</v>
      </c>
      <c r="L56" s="322">
        <f t="shared" si="19"/>
        <v>0</v>
      </c>
      <c r="M56" s="322">
        <f t="shared" si="20"/>
        <v>0</v>
      </c>
    </row>
    <row r="57" spans="2:13" x14ac:dyDescent="0.25">
      <c r="B57" s="326" t="s">
        <v>534</v>
      </c>
      <c r="C57" s="323">
        <f t="shared" si="13"/>
        <v>30</v>
      </c>
      <c r="D57" s="322">
        <f t="shared" si="14"/>
        <v>0</v>
      </c>
      <c r="E57" s="322">
        <f t="shared" si="15"/>
        <v>0</v>
      </c>
      <c r="F57" s="322">
        <f t="shared" si="16"/>
        <v>0</v>
      </c>
      <c r="I57" s="324" t="str">
        <f t="shared" si="17"/>
        <v>Jun</v>
      </c>
      <c r="J57" s="323">
        <f t="shared" si="17"/>
        <v>30</v>
      </c>
      <c r="K57" s="322">
        <f t="shared" si="18"/>
        <v>0</v>
      </c>
      <c r="L57" s="322">
        <f t="shared" si="19"/>
        <v>0</v>
      </c>
      <c r="M57" s="322">
        <f t="shared" si="20"/>
        <v>0</v>
      </c>
    </row>
    <row r="58" spans="2:13" x14ac:dyDescent="0.25">
      <c r="B58" s="326" t="s">
        <v>533</v>
      </c>
      <c r="C58" s="323">
        <f t="shared" si="13"/>
        <v>31</v>
      </c>
      <c r="D58" s="322">
        <f t="shared" si="14"/>
        <v>0</v>
      </c>
      <c r="E58" s="322">
        <f t="shared" si="15"/>
        <v>0</v>
      </c>
      <c r="F58" s="322">
        <f t="shared" si="16"/>
        <v>0</v>
      </c>
      <c r="I58" s="324" t="str">
        <f t="shared" si="17"/>
        <v>Jul</v>
      </c>
      <c r="J58" s="323">
        <f t="shared" si="17"/>
        <v>31</v>
      </c>
      <c r="K58" s="322">
        <f t="shared" si="18"/>
        <v>0</v>
      </c>
      <c r="L58" s="322">
        <f t="shared" si="19"/>
        <v>0</v>
      </c>
      <c r="M58" s="322">
        <f t="shared" si="20"/>
        <v>0</v>
      </c>
    </row>
    <row r="59" spans="2:13" x14ac:dyDescent="0.25">
      <c r="B59" s="326" t="s">
        <v>532</v>
      </c>
      <c r="C59" s="323">
        <f t="shared" si="13"/>
        <v>31</v>
      </c>
      <c r="D59" s="322">
        <f t="shared" si="14"/>
        <v>0</v>
      </c>
      <c r="E59" s="322">
        <f t="shared" si="15"/>
        <v>0</v>
      </c>
      <c r="F59" s="322">
        <f t="shared" si="16"/>
        <v>0</v>
      </c>
      <c r="I59" s="324" t="str">
        <f t="shared" si="17"/>
        <v>Aug</v>
      </c>
      <c r="J59" s="323">
        <f t="shared" si="17"/>
        <v>31</v>
      </c>
      <c r="K59" s="322">
        <f t="shared" si="18"/>
        <v>0</v>
      </c>
      <c r="L59" s="322">
        <f t="shared" si="19"/>
        <v>0</v>
      </c>
      <c r="M59" s="322">
        <f t="shared" si="20"/>
        <v>0</v>
      </c>
    </row>
    <row r="60" spans="2:13" x14ac:dyDescent="0.25">
      <c r="B60" s="326" t="s">
        <v>531</v>
      </c>
      <c r="C60" s="323">
        <f t="shared" si="13"/>
        <v>30</v>
      </c>
      <c r="D60" s="322">
        <f t="shared" si="14"/>
        <v>0</v>
      </c>
      <c r="E60" s="322">
        <f t="shared" si="15"/>
        <v>0</v>
      </c>
      <c r="F60" s="322">
        <f t="shared" si="16"/>
        <v>0</v>
      </c>
      <c r="I60" s="324" t="str">
        <f t="shared" si="17"/>
        <v>Sep</v>
      </c>
      <c r="J60" s="323">
        <f t="shared" si="17"/>
        <v>30</v>
      </c>
      <c r="K60" s="322">
        <f t="shared" si="18"/>
        <v>0</v>
      </c>
      <c r="L60" s="322">
        <f t="shared" si="19"/>
        <v>0</v>
      </c>
      <c r="M60" s="322">
        <f t="shared" si="20"/>
        <v>0</v>
      </c>
    </row>
    <row r="61" spans="2:13" x14ac:dyDescent="0.25">
      <c r="B61" s="326" t="s">
        <v>530</v>
      </c>
      <c r="C61" s="323">
        <f t="shared" si="13"/>
        <v>31</v>
      </c>
      <c r="D61" s="322">
        <f t="shared" si="14"/>
        <v>0</v>
      </c>
      <c r="E61" s="322">
        <f t="shared" si="15"/>
        <v>0</v>
      </c>
      <c r="F61" s="322">
        <f t="shared" si="16"/>
        <v>0</v>
      </c>
      <c r="I61" s="324" t="str">
        <f t="shared" si="17"/>
        <v>Oct</v>
      </c>
      <c r="J61" s="323">
        <f t="shared" si="17"/>
        <v>31</v>
      </c>
      <c r="K61" s="322">
        <f t="shared" si="18"/>
        <v>0</v>
      </c>
      <c r="L61" s="322">
        <f t="shared" si="19"/>
        <v>0</v>
      </c>
      <c r="M61" s="322">
        <f t="shared" si="20"/>
        <v>0</v>
      </c>
    </row>
    <row r="62" spans="2:13" x14ac:dyDescent="0.25">
      <c r="B62" s="326" t="s">
        <v>529</v>
      </c>
      <c r="C62" s="323">
        <f t="shared" si="13"/>
        <v>30</v>
      </c>
      <c r="D62" s="322">
        <f t="shared" si="14"/>
        <v>0</v>
      </c>
      <c r="E62" s="322">
        <f t="shared" si="15"/>
        <v>0</v>
      </c>
      <c r="F62" s="322">
        <f t="shared" si="16"/>
        <v>0</v>
      </c>
      <c r="I62" s="324" t="str">
        <f t="shared" si="17"/>
        <v>Nov</v>
      </c>
      <c r="J62" s="323">
        <f t="shared" si="17"/>
        <v>30</v>
      </c>
      <c r="K62" s="322">
        <f t="shared" si="18"/>
        <v>0</v>
      </c>
      <c r="L62" s="322">
        <f t="shared" si="19"/>
        <v>0</v>
      </c>
      <c r="M62" s="322">
        <f t="shared" si="20"/>
        <v>0</v>
      </c>
    </row>
    <row r="63" spans="2:13" ht="15.75" thickBot="1" x14ac:dyDescent="0.3">
      <c r="B63" s="325" t="s">
        <v>528</v>
      </c>
      <c r="C63" s="323">
        <f t="shared" si="13"/>
        <v>31</v>
      </c>
      <c r="D63" s="322">
        <f t="shared" si="14"/>
        <v>0</v>
      </c>
      <c r="E63" s="322">
        <f t="shared" si="15"/>
        <v>0</v>
      </c>
      <c r="F63" s="322">
        <f t="shared" si="16"/>
        <v>0</v>
      </c>
      <c r="I63" s="324" t="str">
        <f t="shared" si="17"/>
        <v>Dec</v>
      </c>
      <c r="J63" s="323">
        <f t="shared" si="17"/>
        <v>31</v>
      </c>
      <c r="K63" s="322">
        <f t="shared" si="18"/>
        <v>0</v>
      </c>
      <c r="L63" s="322">
        <f t="shared" si="19"/>
        <v>0</v>
      </c>
      <c r="M63" s="322">
        <f t="shared" si="20"/>
        <v>0</v>
      </c>
    </row>
    <row r="64" spans="2:13" ht="15.75" thickBot="1" x14ac:dyDescent="0.3">
      <c r="B64" s="321" t="s">
        <v>521</v>
      </c>
      <c r="C64" s="320"/>
      <c r="D64" s="319">
        <f>SQRT(SUM(D52:D63)/(12-1))/AVERAGE(E4:E15)</f>
        <v>0.30151134457776363</v>
      </c>
      <c r="E64" s="319">
        <f>SQRT(SUM(E52:E63)/(12-1))/AVERAGE(F4:F15)</f>
        <v>0</v>
      </c>
      <c r="F64" s="319" t="e">
        <f>SQRT(SUM(F52:F63)/(12-1))/AVERAGE(G4:G15)</f>
        <v>#DIV/0!</v>
      </c>
      <c r="I64" s="321" t="s">
        <v>522</v>
      </c>
      <c r="J64" s="320"/>
      <c r="K64" s="319">
        <f>SUM(K52:K63)/((12-1)*AVERAGE(E4:E15))</f>
        <v>9.0909090909090912E-2</v>
      </c>
      <c r="L64" s="319">
        <f>SUM(L52:L63)/((12-1)*AVERAGE(F4:F15))</f>
        <v>0</v>
      </c>
      <c r="M64" s="319" t="e">
        <f>SUM(M52:M63)/((12-1)*AVERAGE(G4:G15))</f>
        <v>#DIV/0!</v>
      </c>
    </row>
  </sheetData>
  <mergeCells count="21">
    <mergeCell ref="B10:C10"/>
    <mergeCell ref="B11:C11"/>
    <mergeCell ref="I34:M34"/>
    <mergeCell ref="B50:F50"/>
    <mergeCell ref="I50:M50"/>
    <mergeCell ref="B12:C12"/>
    <mergeCell ref="B13:C13"/>
    <mergeCell ref="B14:C14"/>
    <mergeCell ref="B15:C15"/>
    <mergeCell ref="B16:C16"/>
    <mergeCell ref="B34:F34"/>
    <mergeCell ref="B5:C5"/>
    <mergeCell ref="B6:C6"/>
    <mergeCell ref="B7:C7"/>
    <mergeCell ref="B8:C8"/>
    <mergeCell ref="B9:C9"/>
    <mergeCell ref="B2:C2"/>
    <mergeCell ref="E2:G2"/>
    <mergeCell ref="I2:K2"/>
    <mergeCell ref="B3:C3"/>
    <mergeCell ref="B4:C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25583-61E9-4857-AA9B-3C27FC59A0F6}">
  <dimension ref="B2:N64"/>
  <sheetViews>
    <sheetView topLeftCell="A22" workbookViewId="0">
      <selection activeCell="I50" sqref="I50:M50"/>
    </sheetView>
  </sheetViews>
  <sheetFormatPr defaultRowHeight="15" x14ac:dyDescent="0.25"/>
  <cols>
    <col min="1" max="1" width="3.140625" customWidth="1"/>
    <col min="4" max="4" width="12.85546875" customWidth="1"/>
    <col min="5" max="5" width="15.42578125" customWidth="1"/>
    <col min="6" max="6" width="15" customWidth="1"/>
    <col min="8" max="8" width="3" customWidth="1"/>
    <col min="10" max="10" width="9.7109375" bestFit="1" customWidth="1"/>
    <col min="11" max="11" width="14.140625" customWidth="1"/>
    <col min="12" max="12" width="13.5703125" customWidth="1"/>
    <col min="13" max="13" width="13" customWidth="1"/>
    <col min="15" max="15" width="3.140625" customWidth="1"/>
  </cols>
  <sheetData>
    <row r="2" spans="2:14" ht="29.25" customHeight="1" x14ac:dyDescent="0.25">
      <c r="B2" s="520"/>
      <c r="C2" s="520"/>
      <c r="D2" s="351"/>
      <c r="E2" s="521" t="s">
        <v>561</v>
      </c>
      <c r="F2" s="522"/>
      <c r="G2" s="521"/>
      <c r="H2" s="350"/>
      <c r="I2" s="524" t="s">
        <v>560</v>
      </c>
      <c r="J2" s="525"/>
      <c r="K2" s="526"/>
    </row>
    <row r="3" spans="2:14" ht="33.75" x14ac:dyDescent="0.25">
      <c r="B3" s="523" t="s">
        <v>544</v>
      </c>
      <c r="C3" s="523"/>
      <c r="D3" s="347" t="s">
        <v>543</v>
      </c>
      <c r="E3" s="348" t="s">
        <v>582</v>
      </c>
      <c r="F3" s="347" t="s">
        <v>581</v>
      </c>
      <c r="G3" s="348" t="s">
        <v>580</v>
      </c>
      <c r="H3" s="349"/>
      <c r="I3" s="348" t="s">
        <v>582</v>
      </c>
      <c r="J3" s="347" t="s">
        <v>581</v>
      </c>
      <c r="K3" s="348" t="s">
        <v>580</v>
      </c>
      <c r="L3" s="348" t="s">
        <v>579</v>
      </c>
      <c r="M3" s="348" t="s">
        <v>578</v>
      </c>
      <c r="N3" s="348" t="s">
        <v>577</v>
      </c>
    </row>
    <row r="4" spans="2:14" x14ac:dyDescent="0.25">
      <c r="B4" s="523" t="s">
        <v>539</v>
      </c>
      <c r="C4" s="523"/>
      <c r="D4" s="347">
        <v>31</v>
      </c>
      <c r="E4" s="345">
        <v>1</v>
      </c>
      <c r="F4" s="345">
        <v>1</v>
      </c>
      <c r="G4" s="345">
        <v>0</v>
      </c>
      <c r="H4" s="346"/>
      <c r="I4" s="345">
        <v>1</v>
      </c>
      <c r="J4" s="345">
        <v>1</v>
      </c>
      <c r="K4" s="345">
        <v>0</v>
      </c>
      <c r="L4" s="342">
        <f t="shared" ref="L4:L16" si="0">1-E4/I4</f>
        <v>0</v>
      </c>
      <c r="M4" s="342">
        <f t="shared" ref="M4:M16" si="1">1-F4/J4</f>
        <v>0</v>
      </c>
      <c r="N4" s="342" t="e">
        <f t="shared" ref="N4:N16" si="2">1-G4/K4</f>
        <v>#DIV/0!</v>
      </c>
    </row>
    <row r="5" spans="2:14" x14ac:dyDescent="0.25">
      <c r="B5" s="523" t="s">
        <v>538</v>
      </c>
      <c r="C5" s="523"/>
      <c r="D5" s="347">
        <f>IF(ISEVEN('Matching Summary'!D12/2), 29, 28)</f>
        <v>28</v>
      </c>
      <c r="E5" s="345">
        <v>1</v>
      </c>
      <c r="F5" s="345">
        <v>1</v>
      </c>
      <c r="G5" s="345">
        <v>0</v>
      </c>
      <c r="H5" s="346"/>
      <c r="I5" s="345">
        <v>1</v>
      </c>
      <c r="J5" s="345">
        <v>1</v>
      </c>
      <c r="K5" s="345">
        <v>0</v>
      </c>
      <c r="L5" s="342">
        <f t="shared" si="0"/>
        <v>0</v>
      </c>
      <c r="M5" s="342">
        <f t="shared" si="1"/>
        <v>0</v>
      </c>
      <c r="N5" s="342" t="e">
        <f t="shared" si="2"/>
        <v>#DIV/0!</v>
      </c>
    </row>
    <row r="6" spans="2:14" x14ac:dyDescent="0.25">
      <c r="B6" s="523" t="s">
        <v>537</v>
      </c>
      <c r="C6" s="523"/>
      <c r="D6" s="347">
        <v>31</v>
      </c>
      <c r="E6" s="345">
        <v>1</v>
      </c>
      <c r="F6" s="345">
        <v>1</v>
      </c>
      <c r="G6" s="345">
        <v>0</v>
      </c>
      <c r="H6" s="346"/>
      <c r="I6" s="345">
        <v>1</v>
      </c>
      <c r="J6" s="345">
        <v>1</v>
      </c>
      <c r="K6" s="345">
        <v>0</v>
      </c>
      <c r="L6" s="342">
        <f t="shared" si="0"/>
        <v>0</v>
      </c>
      <c r="M6" s="342">
        <f t="shared" si="1"/>
        <v>0</v>
      </c>
      <c r="N6" s="342" t="e">
        <f t="shared" si="2"/>
        <v>#DIV/0!</v>
      </c>
    </row>
    <row r="7" spans="2:14" x14ac:dyDescent="0.25">
      <c r="B7" s="523" t="s">
        <v>536</v>
      </c>
      <c r="C7" s="523"/>
      <c r="D7" s="347">
        <v>30</v>
      </c>
      <c r="E7" s="345">
        <v>1</v>
      </c>
      <c r="F7" s="345">
        <v>1</v>
      </c>
      <c r="G7" s="345">
        <v>0</v>
      </c>
      <c r="H7" s="346"/>
      <c r="I7" s="345">
        <v>1</v>
      </c>
      <c r="J7" s="345">
        <v>1</v>
      </c>
      <c r="K7" s="345">
        <v>0</v>
      </c>
      <c r="L7" s="342">
        <f t="shared" si="0"/>
        <v>0</v>
      </c>
      <c r="M7" s="342">
        <f t="shared" si="1"/>
        <v>0</v>
      </c>
      <c r="N7" s="342" t="e">
        <f t="shared" si="2"/>
        <v>#DIV/0!</v>
      </c>
    </row>
    <row r="8" spans="2:14" ht="15" customHeight="1" x14ac:dyDescent="0.25">
      <c r="B8" s="523" t="s">
        <v>535</v>
      </c>
      <c r="C8" s="523"/>
      <c r="D8" s="347">
        <v>31</v>
      </c>
      <c r="E8" s="345">
        <v>1</v>
      </c>
      <c r="F8" s="345">
        <v>1</v>
      </c>
      <c r="G8" s="345">
        <v>0</v>
      </c>
      <c r="H8" s="346"/>
      <c r="I8" s="345">
        <v>1</v>
      </c>
      <c r="J8" s="345">
        <v>1</v>
      </c>
      <c r="K8" s="345">
        <v>0</v>
      </c>
      <c r="L8" s="342">
        <f t="shared" si="0"/>
        <v>0</v>
      </c>
      <c r="M8" s="342">
        <f t="shared" si="1"/>
        <v>0</v>
      </c>
      <c r="N8" s="342" t="e">
        <f t="shared" si="2"/>
        <v>#DIV/0!</v>
      </c>
    </row>
    <row r="9" spans="2:14" ht="15" customHeight="1" x14ac:dyDescent="0.25">
      <c r="B9" s="523" t="s">
        <v>534</v>
      </c>
      <c r="C9" s="523"/>
      <c r="D9" s="347">
        <v>30</v>
      </c>
      <c r="E9" s="345">
        <v>1</v>
      </c>
      <c r="F9" s="345">
        <v>1</v>
      </c>
      <c r="G9" s="345">
        <v>0</v>
      </c>
      <c r="H9" s="346"/>
      <c r="I9" s="345">
        <v>1</v>
      </c>
      <c r="J9" s="345">
        <v>1</v>
      </c>
      <c r="K9" s="345">
        <v>0</v>
      </c>
      <c r="L9" s="342">
        <f t="shared" si="0"/>
        <v>0</v>
      </c>
      <c r="M9" s="342">
        <f t="shared" si="1"/>
        <v>0</v>
      </c>
      <c r="N9" s="342" t="e">
        <f t="shared" si="2"/>
        <v>#DIV/0!</v>
      </c>
    </row>
    <row r="10" spans="2:14" x14ac:dyDescent="0.25">
      <c r="B10" s="523" t="s">
        <v>533</v>
      </c>
      <c r="C10" s="523"/>
      <c r="D10" s="347">
        <v>31</v>
      </c>
      <c r="E10" s="345">
        <v>1</v>
      </c>
      <c r="F10" s="345">
        <v>1</v>
      </c>
      <c r="G10" s="345">
        <v>0</v>
      </c>
      <c r="H10" s="346"/>
      <c r="I10" s="345">
        <v>1</v>
      </c>
      <c r="J10" s="345">
        <v>1</v>
      </c>
      <c r="K10" s="345">
        <v>0</v>
      </c>
      <c r="L10" s="342">
        <f t="shared" si="0"/>
        <v>0</v>
      </c>
      <c r="M10" s="342">
        <f t="shared" si="1"/>
        <v>0</v>
      </c>
      <c r="N10" s="342" t="e">
        <f t="shared" si="2"/>
        <v>#DIV/0!</v>
      </c>
    </row>
    <row r="11" spans="2:14" ht="15" customHeight="1" x14ac:dyDescent="0.25">
      <c r="B11" s="523" t="s">
        <v>532</v>
      </c>
      <c r="C11" s="523"/>
      <c r="D11" s="347">
        <v>31</v>
      </c>
      <c r="E11" s="345">
        <v>1</v>
      </c>
      <c r="F11" s="345">
        <v>1</v>
      </c>
      <c r="G11" s="345">
        <v>0</v>
      </c>
      <c r="H11" s="346"/>
      <c r="I11" s="345">
        <v>1</v>
      </c>
      <c r="J11" s="345">
        <v>1</v>
      </c>
      <c r="K11" s="345">
        <v>0</v>
      </c>
      <c r="L11" s="342">
        <f t="shared" si="0"/>
        <v>0</v>
      </c>
      <c r="M11" s="342">
        <f t="shared" si="1"/>
        <v>0</v>
      </c>
      <c r="N11" s="342" t="e">
        <f t="shared" si="2"/>
        <v>#DIV/0!</v>
      </c>
    </row>
    <row r="12" spans="2:14" ht="15" customHeight="1" x14ac:dyDescent="0.25">
      <c r="B12" s="523" t="s">
        <v>531</v>
      </c>
      <c r="C12" s="523"/>
      <c r="D12" s="347">
        <v>30</v>
      </c>
      <c r="E12" s="345">
        <v>1</v>
      </c>
      <c r="F12" s="345">
        <v>1</v>
      </c>
      <c r="G12" s="345">
        <v>0</v>
      </c>
      <c r="H12" s="346"/>
      <c r="I12" s="345">
        <v>1</v>
      </c>
      <c r="J12" s="345">
        <v>1</v>
      </c>
      <c r="K12" s="345">
        <v>0</v>
      </c>
      <c r="L12" s="342">
        <f t="shared" si="0"/>
        <v>0</v>
      </c>
      <c r="M12" s="342">
        <f t="shared" si="1"/>
        <v>0</v>
      </c>
      <c r="N12" s="342" t="e">
        <f t="shared" si="2"/>
        <v>#DIV/0!</v>
      </c>
    </row>
    <row r="13" spans="2:14" ht="15" customHeight="1" x14ac:dyDescent="0.25">
      <c r="B13" s="523" t="s">
        <v>530</v>
      </c>
      <c r="C13" s="523"/>
      <c r="D13" s="347">
        <v>31</v>
      </c>
      <c r="E13" s="345">
        <v>1</v>
      </c>
      <c r="F13" s="345">
        <v>1</v>
      </c>
      <c r="G13" s="345">
        <v>0</v>
      </c>
      <c r="H13" s="346"/>
      <c r="I13" s="345">
        <v>1</v>
      </c>
      <c r="J13" s="345">
        <v>1</v>
      </c>
      <c r="K13" s="345">
        <v>0</v>
      </c>
      <c r="L13" s="342">
        <f t="shared" si="0"/>
        <v>0</v>
      </c>
      <c r="M13" s="342">
        <f t="shared" si="1"/>
        <v>0</v>
      </c>
      <c r="N13" s="342" t="e">
        <f t="shared" si="2"/>
        <v>#DIV/0!</v>
      </c>
    </row>
    <row r="14" spans="2:14" ht="15" customHeight="1" x14ac:dyDescent="0.25">
      <c r="B14" s="523" t="s">
        <v>529</v>
      </c>
      <c r="C14" s="523"/>
      <c r="D14" s="347">
        <v>30</v>
      </c>
      <c r="E14" s="345">
        <v>1</v>
      </c>
      <c r="F14" s="345">
        <v>1</v>
      </c>
      <c r="G14" s="345">
        <v>0</v>
      </c>
      <c r="H14" s="346"/>
      <c r="I14" s="345">
        <v>1</v>
      </c>
      <c r="J14" s="345">
        <v>1</v>
      </c>
      <c r="K14" s="345">
        <v>0</v>
      </c>
      <c r="L14" s="342">
        <f t="shared" si="0"/>
        <v>0</v>
      </c>
      <c r="M14" s="342">
        <f t="shared" si="1"/>
        <v>0</v>
      </c>
      <c r="N14" s="342" t="e">
        <f t="shared" si="2"/>
        <v>#DIV/0!</v>
      </c>
    </row>
    <row r="15" spans="2:14" ht="15" customHeight="1" x14ac:dyDescent="0.25">
      <c r="B15" s="523" t="s">
        <v>528</v>
      </c>
      <c r="C15" s="523"/>
      <c r="D15" s="347">
        <v>31</v>
      </c>
      <c r="E15" s="345">
        <v>1</v>
      </c>
      <c r="F15" s="345">
        <v>1</v>
      </c>
      <c r="G15" s="345">
        <v>0</v>
      </c>
      <c r="H15" s="346"/>
      <c r="I15" s="345">
        <v>1</v>
      </c>
      <c r="J15" s="345">
        <v>1</v>
      </c>
      <c r="K15" s="345">
        <v>0</v>
      </c>
      <c r="L15" s="342">
        <f t="shared" si="0"/>
        <v>0</v>
      </c>
      <c r="M15" s="342">
        <f t="shared" si="1"/>
        <v>0</v>
      </c>
      <c r="N15" s="342" t="e">
        <f t="shared" si="2"/>
        <v>#DIV/0!</v>
      </c>
    </row>
    <row r="16" spans="2:14" x14ac:dyDescent="0.25">
      <c r="B16" s="533" t="s">
        <v>553</v>
      </c>
      <c r="C16" s="533"/>
      <c r="D16" s="343">
        <f>SUM(D4:D15)</f>
        <v>365</v>
      </c>
      <c r="E16" s="343">
        <f>SUM(E4:E15)</f>
        <v>12</v>
      </c>
      <c r="F16" s="343">
        <f>SUM(F4:F15)</f>
        <v>12</v>
      </c>
      <c r="G16" s="343">
        <f>SUM(G4:G15)</f>
        <v>0</v>
      </c>
      <c r="H16" s="344"/>
      <c r="I16" s="343">
        <f>SUM(I4:I15)</f>
        <v>12</v>
      </c>
      <c r="J16" s="343">
        <f>SUM(J4:J15)</f>
        <v>12</v>
      </c>
      <c r="K16" s="343">
        <f>SUM(K4:K15)</f>
        <v>0</v>
      </c>
      <c r="L16" s="342">
        <f t="shared" si="0"/>
        <v>0</v>
      </c>
      <c r="M16" s="342">
        <f t="shared" si="1"/>
        <v>0</v>
      </c>
      <c r="N16" s="342" t="e">
        <f t="shared" si="2"/>
        <v>#DIV/0!</v>
      </c>
    </row>
    <row r="34" spans="2:13" x14ac:dyDescent="0.25">
      <c r="B34" s="527" t="s">
        <v>552</v>
      </c>
      <c r="C34" s="528"/>
      <c r="D34" s="528"/>
      <c r="E34" s="528"/>
      <c r="F34" s="529"/>
      <c r="I34" s="527" t="s">
        <v>576</v>
      </c>
      <c r="J34" s="528"/>
      <c r="K34" s="528"/>
      <c r="L34" s="528"/>
      <c r="M34" s="529"/>
    </row>
    <row r="35" spans="2:13" ht="30.75" thickBot="1" x14ac:dyDescent="0.3">
      <c r="B35" s="341" t="s">
        <v>544</v>
      </c>
      <c r="C35" s="339" t="s">
        <v>543</v>
      </c>
      <c r="D35" s="339" t="s">
        <v>575</v>
      </c>
      <c r="E35" s="340" t="s">
        <v>574</v>
      </c>
      <c r="F35" s="339" t="s">
        <v>549</v>
      </c>
      <c r="I35" s="341" t="s">
        <v>544</v>
      </c>
      <c r="J35" s="339" t="s">
        <v>543</v>
      </c>
      <c r="K35" s="339" t="s">
        <v>575</v>
      </c>
      <c r="L35" s="340" t="s">
        <v>574</v>
      </c>
      <c r="M35" s="339" t="s">
        <v>549</v>
      </c>
    </row>
    <row r="36" spans="2:13" ht="15.75" thickTop="1" x14ac:dyDescent="0.25">
      <c r="B36" s="335" t="str">
        <f t="shared" ref="B36:B47" si="3">B4</f>
        <v>Jan</v>
      </c>
      <c r="C36" s="334">
        <f t="shared" ref="C36:C47" si="4">D4</f>
        <v>31</v>
      </c>
      <c r="D36" s="338">
        <f t="shared" ref="D36:D48" si="5">I4-E4</f>
        <v>0</v>
      </c>
      <c r="E36" s="338">
        <f t="shared" ref="E36:E48" si="6">J4-F4</f>
        <v>0</v>
      </c>
      <c r="F36" s="338">
        <f t="shared" ref="F36:F48" si="7">K4-G4</f>
        <v>0</v>
      </c>
      <c r="I36" s="335" t="str">
        <f t="shared" ref="I36:I47" si="8">B4</f>
        <v>Jan</v>
      </c>
      <c r="J36" s="334">
        <f t="shared" ref="J36:J47" si="9">D4</f>
        <v>31</v>
      </c>
      <c r="K36" s="337">
        <f t="shared" ref="K36:K48" si="10">D36/E4</f>
        <v>0</v>
      </c>
      <c r="L36" s="337">
        <f t="shared" ref="L36:L48" si="11">E36/F4</f>
        <v>0</v>
      </c>
      <c r="M36" s="337" t="e">
        <f t="shared" ref="M36:M48" si="12">F36/G4</f>
        <v>#DIV/0!</v>
      </c>
    </row>
    <row r="37" spans="2:13" x14ac:dyDescent="0.25">
      <c r="B37" s="335" t="str">
        <f t="shared" si="3"/>
        <v>Feb</v>
      </c>
      <c r="C37" s="334">
        <f t="shared" si="4"/>
        <v>28</v>
      </c>
      <c r="D37" s="338">
        <f t="shared" si="5"/>
        <v>0</v>
      </c>
      <c r="E37" s="338">
        <f t="shared" si="6"/>
        <v>0</v>
      </c>
      <c r="F37" s="338">
        <f t="shared" si="7"/>
        <v>0</v>
      </c>
      <c r="I37" s="335" t="str">
        <f t="shared" si="8"/>
        <v>Feb</v>
      </c>
      <c r="J37" s="334">
        <f t="shared" si="9"/>
        <v>28</v>
      </c>
      <c r="K37" s="337">
        <f t="shared" si="10"/>
        <v>0</v>
      </c>
      <c r="L37" s="337">
        <f t="shared" si="11"/>
        <v>0</v>
      </c>
      <c r="M37" s="337" t="e">
        <f t="shared" si="12"/>
        <v>#DIV/0!</v>
      </c>
    </row>
    <row r="38" spans="2:13" x14ac:dyDescent="0.25">
      <c r="B38" s="335" t="str">
        <f t="shared" si="3"/>
        <v>Mar</v>
      </c>
      <c r="C38" s="334">
        <f t="shared" si="4"/>
        <v>31</v>
      </c>
      <c r="D38" s="338">
        <f t="shared" si="5"/>
        <v>0</v>
      </c>
      <c r="E38" s="338">
        <f t="shared" si="6"/>
        <v>0</v>
      </c>
      <c r="F38" s="338">
        <f t="shared" si="7"/>
        <v>0</v>
      </c>
      <c r="I38" s="335" t="str">
        <f t="shared" si="8"/>
        <v>Mar</v>
      </c>
      <c r="J38" s="334">
        <f t="shared" si="9"/>
        <v>31</v>
      </c>
      <c r="K38" s="337">
        <f t="shared" si="10"/>
        <v>0</v>
      </c>
      <c r="L38" s="337">
        <f t="shared" si="11"/>
        <v>0</v>
      </c>
      <c r="M38" s="337" t="e">
        <f t="shared" si="12"/>
        <v>#DIV/0!</v>
      </c>
    </row>
    <row r="39" spans="2:13" x14ac:dyDescent="0.25">
      <c r="B39" s="335" t="str">
        <f t="shared" si="3"/>
        <v>Apr</v>
      </c>
      <c r="C39" s="334">
        <f t="shared" si="4"/>
        <v>30</v>
      </c>
      <c r="D39" s="338">
        <f t="shared" si="5"/>
        <v>0</v>
      </c>
      <c r="E39" s="338">
        <f t="shared" si="6"/>
        <v>0</v>
      </c>
      <c r="F39" s="338">
        <f t="shared" si="7"/>
        <v>0</v>
      </c>
      <c r="I39" s="335" t="str">
        <f t="shared" si="8"/>
        <v>Apr</v>
      </c>
      <c r="J39" s="334">
        <f t="shared" si="9"/>
        <v>30</v>
      </c>
      <c r="K39" s="337">
        <f t="shared" si="10"/>
        <v>0</v>
      </c>
      <c r="L39" s="337">
        <f t="shared" si="11"/>
        <v>0</v>
      </c>
      <c r="M39" s="337" t="e">
        <f t="shared" si="12"/>
        <v>#DIV/0!</v>
      </c>
    </row>
    <row r="40" spans="2:13" x14ac:dyDescent="0.25">
      <c r="B40" s="335" t="str">
        <f t="shared" si="3"/>
        <v>May</v>
      </c>
      <c r="C40" s="334">
        <f t="shared" si="4"/>
        <v>31</v>
      </c>
      <c r="D40" s="338">
        <f t="shared" si="5"/>
        <v>0</v>
      </c>
      <c r="E40" s="338">
        <f t="shared" si="6"/>
        <v>0</v>
      </c>
      <c r="F40" s="338">
        <f t="shared" si="7"/>
        <v>0</v>
      </c>
      <c r="I40" s="335" t="str">
        <f t="shared" si="8"/>
        <v>May</v>
      </c>
      <c r="J40" s="334">
        <f t="shared" si="9"/>
        <v>31</v>
      </c>
      <c r="K40" s="337">
        <f t="shared" si="10"/>
        <v>0</v>
      </c>
      <c r="L40" s="337">
        <f t="shared" si="11"/>
        <v>0</v>
      </c>
      <c r="M40" s="337" t="e">
        <f t="shared" si="12"/>
        <v>#DIV/0!</v>
      </c>
    </row>
    <row r="41" spans="2:13" x14ac:dyDescent="0.25">
      <c r="B41" s="335" t="str">
        <f t="shared" si="3"/>
        <v>Jun</v>
      </c>
      <c r="C41" s="334">
        <f t="shared" si="4"/>
        <v>30</v>
      </c>
      <c r="D41" s="338">
        <f t="shared" si="5"/>
        <v>0</v>
      </c>
      <c r="E41" s="338">
        <f t="shared" si="6"/>
        <v>0</v>
      </c>
      <c r="F41" s="338">
        <f t="shared" si="7"/>
        <v>0</v>
      </c>
      <c r="I41" s="335" t="str">
        <f t="shared" si="8"/>
        <v>Jun</v>
      </c>
      <c r="J41" s="334">
        <f t="shared" si="9"/>
        <v>30</v>
      </c>
      <c r="K41" s="337">
        <f t="shared" si="10"/>
        <v>0</v>
      </c>
      <c r="L41" s="337">
        <f t="shared" si="11"/>
        <v>0</v>
      </c>
      <c r="M41" s="337" t="e">
        <f t="shared" si="12"/>
        <v>#DIV/0!</v>
      </c>
    </row>
    <row r="42" spans="2:13" x14ac:dyDescent="0.25">
      <c r="B42" s="335" t="str">
        <f t="shared" si="3"/>
        <v>Jul</v>
      </c>
      <c r="C42" s="334">
        <f t="shared" si="4"/>
        <v>31</v>
      </c>
      <c r="D42" s="338">
        <f t="shared" si="5"/>
        <v>0</v>
      </c>
      <c r="E42" s="338">
        <f t="shared" si="6"/>
        <v>0</v>
      </c>
      <c r="F42" s="338">
        <f t="shared" si="7"/>
        <v>0</v>
      </c>
      <c r="I42" s="335" t="str">
        <f t="shared" si="8"/>
        <v>Jul</v>
      </c>
      <c r="J42" s="334">
        <f t="shared" si="9"/>
        <v>31</v>
      </c>
      <c r="K42" s="337">
        <f t="shared" si="10"/>
        <v>0</v>
      </c>
      <c r="L42" s="337">
        <f t="shared" si="11"/>
        <v>0</v>
      </c>
      <c r="M42" s="337" t="e">
        <f t="shared" si="12"/>
        <v>#DIV/0!</v>
      </c>
    </row>
    <row r="43" spans="2:13" x14ac:dyDescent="0.25">
      <c r="B43" s="335" t="str">
        <f t="shared" si="3"/>
        <v>Aug</v>
      </c>
      <c r="C43" s="334">
        <f t="shared" si="4"/>
        <v>31</v>
      </c>
      <c r="D43" s="338">
        <f t="shared" si="5"/>
        <v>0</v>
      </c>
      <c r="E43" s="338">
        <f t="shared" si="6"/>
        <v>0</v>
      </c>
      <c r="F43" s="338">
        <f t="shared" si="7"/>
        <v>0</v>
      </c>
      <c r="I43" s="335" t="str">
        <f t="shared" si="8"/>
        <v>Aug</v>
      </c>
      <c r="J43" s="334">
        <f t="shared" si="9"/>
        <v>31</v>
      </c>
      <c r="K43" s="337">
        <f t="shared" si="10"/>
        <v>0</v>
      </c>
      <c r="L43" s="337">
        <f t="shared" si="11"/>
        <v>0</v>
      </c>
      <c r="M43" s="337" t="e">
        <f t="shared" si="12"/>
        <v>#DIV/0!</v>
      </c>
    </row>
    <row r="44" spans="2:13" x14ac:dyDescent="0.25">
      <c r="B44" s="335" t="str">
        <f t="shared" si="3"/>
        <v>Sep</v>
      </c>
      <c r="C44" s="334">
        <f t="shared" si="4"/>
        <v>30</v>
      </c>
      <c r="D44" s="338">
        <f t="shared" si="5"/>
        <v>0</v>
      </c>
      <c r="E44" s="338">
        <f t="shared" si="6"/>
        <v>0</v>
      </c>
      <c r="F44" s="338">
        <f t="shared" si="7"/>
        <v>0</v>
      </c>
      <c r="I44" s="335" t="str">
        <f t="shared" si="8"/>
        <v>Sep</v>
      </c>
      <c r="J44" s="334">
        <f t="shared" si="9"/>
        <v>30</v>
      </c>
      <c r="K44" s="337">
        <f t="shared" si="10"/>
        <v>0</v>
      </c>
      <c r="L44" s="337">
        <f t="shared" si="11"/>
        <v>0</v>
      </c>
      <c r="M44" s="337" t="e">
        <f t="shared" si="12"/>
        <v>#DIV/0!</v>
      </c>
    </row>
    <row r="45" spans="2:13" x14ac:dyDescent="0.25">
      <c r="B45" s="335" t="str">
        <f t="shared" si="3"/>
        <v>Oct</v>
      </c>
      <c r="C45" s="334">
        <f t="shared" si="4"/>
        <v>31</v>
      </c>
      <c r="D45" s="338">
        <f t="shared" si="5"/>
        <v>0</v>
      </c>
      <c r="E45" s="338">
        <f t="shared" si="6"/>
        <v>0</v>
      </c>
      <c r="F45" s="338">
        <f t="shared" si="7"/>
        <v>0</v>
      </c>
      <c r="I45" s="335" t="str">
        <f t="shared" si="8"/>
        <v>Oct</v>
      </c>
      <c r="J45" s="334">
        <f t="shared" si="9"/>
        <v>31</v>
      </c>
      <c r="K45" s="337">
        <f t="shared" si="10"/>
        <v>0</v>
      </c>
      <c r="L45" s="337">
        <f t="shared" si="11"/>
        <v>0</v>
      </c>
      <c r="M45" s="337" t="e">
        <f t="shared" si="12"/>
        <v>#DIV/0!</v>
      </c>
    </row>
    <row r="46" spans="2:13" x14ac:dyDescent="0.25">
      <c r="B46" s="335" t="str">
        <f t="shared" si="3"/>
        <v>Nov</v>
      </c>
      <c r="C46" s="334">
        <f t="shared" si="4"/>
        <v>30</v>
      </c>
      <c r="D46" s="338">
        <f t="shared" si="5"/>
        <v>0</v>
      </c>
      <c r="E46" s="338">
        <f t="shared" si="6"/>
        <v>0</v>
      </c>
      <c r="F46" s="338">
        <f t="shared" si="7"/>
        <v>0</v>
      </c>
      <c r="I46" s="335" t="str">
        <f t="shared" si="8"/>
        <v>Nov</v>
      </c>
      <c r="J46" s="334">
        <f t="shared" si="9"/>
        <v>30</v>
      </c>
      <c r="K46" s="337">
        <f t="shared" si="10"/>
        <v>0</v>
      </c>
      <c r="L46" s="337">
        <f t="shared" si="11"/>
        <v>0</v>
      </c>
      <c r="M46" s="337" t="e">
        <f t="shared" si="12"/>
        <v>#DIV/0!</v>
      </c>
    </row>
    <row r="47" spans="2:13" ht="15.75" thickBot="1" x14ac:dyDescent="0.3">
      <c r="B47" s="335" t="str">
        <f t="shared" si="3"/>
        <v>Dec</v>
      </c>
      <c r="C47" s="334">
        <f t="shared" si="4"/>
        <v>31</v>
      </c>
      <c r="D47" s="336">
        <f t="shared" si="5"/>
        <v>0</v>
      </c>
      <c r="E47" s="336">
        <f t="shared" si="6"/>
        <v>0</v>
      </c>
      <c r="F47" s="336">
        <f t="shared" si="7"/>
        <v>0</v>
      </c>
      <c r="I47" s="335" t="str">
        <f t="shared" si="8"/>
        <v>Dec</v>
      </c>
      <c r="J47" s="334">
        <f t="shared" si="9"/>
        <v>31</v>
      </c>
      <c r="K47" s="333">
        <f t="shared" si="10"/>
        <v>0</v>
      </c>
      <c r="L47" s="333">
        <f t="shared" si="11"/>
        <v>0</v>
      </c>
      <c r="M47" s="333" t="e">
        <f t="shared" si="12"/>
        <v>#DIV/0!</v>
      </c>
    </row>
    <row r="48" spans="2:13" ht="15.75" thickTop="1" x14ac:dyDescent="0.25">
      <c r="B48" s="332"/>
      <c r="C48" s="331">
        <f>SUM(C36:C47)</f>
        <v>365</v>
      </c>
      <c r="D48" s="322">
        <f t="shared" si="5"/>
        <v>0</v>
      </c>
      <c r="E48" s="322">
        <f t="shared" si="6"/>
        <v>0</v>
      </c>
      <c r="F48" s="322">
        <f t="shared" si="7"/>
        <v>0</v>
      </c>
      <c r="I48" s="332"/>
      <c r="J48" s="331">
        <f>SUM(J36:J47)</f>
        <v>365</v>
      </c>
      <c r="K48" s="330">
        <f t="shared" si="10"/>
        <v>0</v>
      </c>
      <c r="L48" s="330">
        <f t="shared" si="11"/>
        <v>0</v>
      </c>
      <c r="M48" s="330" t="e">
        <f t="shared" si="12"/>
        <v>#DIV/0!</v>
      </c>
    </row>
    <row r="49" spans="2:13" ht="15.75" thickBot="1" x14ac:dyDescent="0.3"/>
    <row r="50" spans="2:13" ht="15.75" thickBot="1" x14ac:dyDescent="0.3">
      <c r="B50" s="530" t="s">
        <v>548</v>
      </c>
      <c r="C50" s="531"/>
      <c r="D50" s="531"/>
      <c r="E50" s="531"/>
      <c r="F50" s="532"/>
      <c r="I50" s="530" t="s">
        <v>607</v>
      </c>
      <c r="J50" s="531"/>
      <c r="K50" s="531"/>
      <c r="L50" s="531"/>
      <c r="M50" s="532"/>
    </row>
    <row r="51" spans="2:13" ht="30.75" thickBot="1" x14ac:dyDescent="0.3">
      <c r="B51" s="329" t="s">
        <v>544</v>
      </c>
      <c r="C51" s="328" t="s">
        <v>543</v>
      </c>
      <c r="D51" s="328" t="s">
        <v>565</v>
      </c>
      <c r="E51" s="328" t="s">
        <v>564</v>
      </c>
      <c r="F51" s="327" t="s">
        <v>545</v>
      </c>
      <c r="I51" s="329" t="s">
        <v>544</v>
      </c>
      <c r="J51" s="328" t="s">
        <v>543</v>
      </c>
      <c r="K51" s="328" t="s">
        <v>563</v>
      </c>
      <c r="L51" s="328" t="s">
        <v>562</v>
      </c>
      <c r="M51" s="327" t="s">
        <v>540</v>
      </c>
    </row>
    <row r="52" spans="2:13" x14ac:dyDescent="0.25">
      <c r="B52" s="324" t="s">
        <v>539</v>
      </c>
      <c r="C52" s="323">
        <f t="shared" ref="C52:C63" si="13">C36</f>
        <v>31</v>
      </c>
      <c r="D52" s="322">
        <f t="shared" ref="D52:D63" si="14">(E4-I4)^2</f>
        <v>0</v>
      </c>
      <c r="E52" s="322">
        <f t="shared" ref="E52:E63" si="15">(F4-J4)^2</f>
        <v>0</v>
      </c>
      <c r="F52" s="322">
        <f t="shared" ref="F52:F63" si="16">(G4-K4)^2</f>
        <v>0</v>
      </c>
      <c r="I52" s="324" t="str">
        <f t="shared" ref="I52:J63" si="17">I36</f>
        <v>Jan</v>
      </c>
      <c r="J52" s="323">
        <f t="shared" si="17"/>
        <v>31</v>
      </c>
      <c r="K52" s="322">
        <f t="shared" ref="K52:K63" si="18">I4-E4</f>
        <v>0</v>
      </c>
      <c r="L52" s="322">
        <f t="shared" ref="L52:L63" si="19">J4-F4</f>
        <v>0</v>
      </c>
      <c r="M52" s="322">
        <f t="shared" ref="M52:M63" si="20">K4-G4</f>
        <v>0</v>
      </c>
    </row>
    <row r="53" spans="2:13" x14ac:dyDescent="0.25">
      <c r="B53" s="326" t="s">
        <v>538</v>
      </c>
      <c r="C53" s="323">
        <f t="shared" si="13"/>
        <v>28</v>
      </c>
      <c r="D53" s="322">
        <f t="shared" si="14"/>
        <v>0</v>
      </c>
      <c r="E53" s="322">
        <f t="shared" si="15"/>
        <v>0</v>
      </c>
      <c r="F53" s="322">
        <f t="shared" si="16"/>
        <v>0</v>
      </c>
      <c r="I53" s="324" t="str">
        <f t="shared" si="17"/>
        <v>Feb</v>
      </c>
      <c r="J53" s="323">
        <f t="shared" si="17"/>
        <v>28</v>
      </c>
      <c r="K53" s="322">
        <f t="shared" si="18"/>
        <v>0</v>
      </c>
      <c r="L53" s="322">
        <f t="shared" si="19"/>
        <v>0</v>
      </c>
      <c r="M53" s="322">
        <f t="shared" si="20"/>
        <v>0</v>
      </c>
    </row>
    <row r="54" spans="2:13" x14ac:dyDescent="0.25">
      <c r="B54" s="326" t="s">
        <v>537</v>
      </c>
      <c r="C54" s="323">
        <f t="shared" si="13"/>
        <v>31</v>
      </c>
      <c r="D54" s="322">
        <f t="shared" si="14"/>
        <v>0</v>
      </c>
      <c r="E54" s="322">
        <f t="shared" si="15"/>
        <v>0</v>
      </c>
      <c r="F54" s="322">
        <f t="shared" si="16"/>
        <v>0</v>
      </c>
      <c r="I54" s="324" t="str">
        <f t="shared" si="17"/>
        <v>Mar</v>
      </c>
      <c r="J54" s="323">
        <f t="shared" si="17"/>
        <v>31</v>
      </c>
      <c r="K54" s="322">
        <f t="shared" si="18"/>
        <v>0</v>
      </c>
      <c r="L54" s="322">
        <f t="shared" si="19"/>
        <v>0</v>
      </c>
      <c r="M54" s="322">
        <f t="shared" si="20"/>
        <v>0</v>
      </c>
    </row>
    <row r="55" spans="2:13" x14ac:dyDescent="0.25">
      <c r="B55" s="326" t="s">
        <v>536</v>
      </c>
      <c r="C55" s="323">
        <f t="shared" si="13"/>
        <v>30</v>
      </c>
      <c r="D55" s="322">
        <f t="shared" si="14"/>
        <v>0</v>
      </c>
      <c r="E55" s="322">
        <f t="shared" si="15"/>
        <v>0</v>
      </c>
      <c r="F55" s="322">
        <f t="shared" si="16"/>
        <v>0</v>
      </c>
      <c r="I55" s="324" t="str">
        <f t="shared" si="17"/>
        <v>Apr</v>
      </c>
      <c r="J55" s="323">
        <f t="shared" si="17"/>
        <v>30</v>
      </c>
      <c r="K55" s="322">
        <f t="shared" si="18"/>
        <v>0</v>
      </c>
      <c r="L55" s="322">
        <f t="shared" si="19"/>
        <v>0</v>
      </c>
      <c r="M55" s="322">
        <f t="shared" si="20"/>
        <v>0</v>
      </c>
    </row>
    <row r="56" spans="2:13" x14ac:dyDescent="0.25">
      <c r="B56" s="326" t="s">
        <v>535</v>
      </c>
      <c r="C56" s="323">
        <f t="shared" si="13"/>
        <v>31</v>
      </c>
      <c r="D56" s="322">
        <f t="shared" si="14"/>
        <v>0</v>
      </c>
      <c r="E56" s="322">
        <f t="shared" si="15"/>
        <v>0</v>
      </c>
      <c r="F56" s="322">
        <f t="shared" si="16"/>
        <v>0</v>
      </c>
      <c r="I56" s="324" t="str">
        <f t="shared" si="17"/>
        <v>May</v>
      </c>
      <c r="J56" s="323">
        <f t="shared" si="17"/>
        <v>31</v>
      </c>
      <c r="K56" s="322">
        <f t="shared" si="18"/>
        <v>0</v>
      </c>
      <c r="L56" s="322">
        <f t="shared" si="19"/>
        <v>0</v>
      </c>
      <c r="M56" s="322">
        <f t="shared" si="20"/>
        <v>0</v>
      </c>
    </row>
    <row r="57" spans="2:13" x14ac:dyDescent="0.25">
      <c r="B57" s="326" t="s">
        <v>534</v>
      </c>
      <c r="C57" s="323">
        <f t="shared" si="13"/>
        <v>30</v>
      </c>
      <c r="D57" s="322">
        <f t="shared" si="14"/>
        <v>0</v>
      </c>
      <c r="E57" s="322">
        <f t="shared" si="15"/>
        <v>0</v>
      </c>
      <c r="F57" s="322">
        <f t="shared" si="16"/>
        <v>0</v>
      </c>
      <c r="I57" s="324" t="str">
        <f t="shared" si="17"/>
        <v>Jun</v>
      </c>
      <c r="J57" s="323">
        <f t="shared" si="17"/>
        <v>30</v>
      </c>
      <c r="K57" s="322">
        <f t="shared" si="18"/>
        <v>0</v>
      </c>
      <c r="L57" s="322">
        <f t="shared" si="19"/>
        <v>0</v>
      </c>
      <c r="M57" s="322">
        <f t="shared" si="20"/>
        <v>0</v>
      </c>
    </row>
    <row r="58" spans="2:13" x14ac:dyDescent="0.25">
      <c r="B58" s="326" t="s">
        <v>533</v>
      </c>
      <c r="C58" s="323">
        <f t="shared" si="13"/>
        <v>31</v>
      </c>
      <c r="D58" s="322">
        <f t="shared" si="14"/>
        <v>0</v>
      </c>
      <c r="E58" s="322">
        <f t="shared" si="15"/>
        <v>0</v>
      </c>
      <c r="F58" s="322">
        <f t="shared" si="16"/>
        <v>0</v>
      </c>
      <c r="I58" s="324" t="str">
        <f t="shared" si="17"/>
        <v>Jul</v>
      </c>
      <c r="J58" s="323">
        <f t="shared" si="17"/>
        <v>31</v>
      </c>
      <c r="K58" s="322">
        <f t="shared" si="18"/>
        <v>0</v>
      </c>
      <c r="L58" s="322">
        <f t="shared" si="19"/>
        <v>0</v>
      </c>
      <c r="M58" s="322">
        <f t="shared" si="20"/>
        <v>0</v>
      </c>
    </row>
    <row r="59" spans="2:13" x14ac:dyDescent="0.25">
      <c r="B59" s="326" t="s">
        <v>532</v>
      </c>
      <c r="C59" s="323">
        <f t="shared" si="13"/>
        <v>31</v>
      </c>
      <c r="D59" s="322">
        <f t="shared" si="14"/>
        <v>0</v>
      </c>
      <c r="E59" s="322">
        <f t="shared" si="15"/>
        <v>0</v>
      </c>
      <c r="F59" s="322">
        <f t="shared" si="16"/>
        <v>0</v>
      </c>
      <c r="I59" s="324" t="str">
        <f t="shared" si="17"/>
        <v>Aug</v>
      </c>
      <c r="J59" s="323">
        <f t="shared" si="17"/>
        <v>31</v>
      </c>
      <c r="K59" s="322">
        <f t="shared" si="18"/>
        <v>0</v>
      </c>
      <c r="L59" s="322">
        <f t="shared" si="19"/>
        <v>0</v>
      </c>
      <c r="M59" s="322">
        <f t="shared" si="20"/>
        <v>0</v>
      </c>
    </row>
    <row r="60" spans="2:13" x14ac:dyDescent="0.25">
      <c r="B60" s="326" t="s">
        <v>531</v>
      </c>
      <c r="C60" s="323">
        <f t="shared" si="13"/>
        <v>30</v>
      </c>
      <c r="D60" s="322">
        <f t="shared" si="14"/>
        <v>0</v>
      </c>
      <c r="E60" s="322">
        <f t="shared" si="15"/>
        <v>0</v>
      </c>
      <c r="F60" s="322">
        <f t="shared" si="16"/>
        <v>0</v>
      </c>
      <c r="I60" s="324" t="str">
        <f t="shared" si="17"/>
        <v>Sep</v>
      </c>
      <c r="J60" s="323">
        <f t="shared" si="17"/>
        <v>30</v>
      </c>
      <c r="K60" s="322">
        <f t="shared" si="18"/>
        <v>0</v>
      </c>
      <c r="L60" s="322">
        <f t="shared" si="19"/>
        <v>0</v>
      </c>
      <c r="M60" s="322">
        <f t="shared" si="20"/>
        <v>0</v>
      </c>
    </row>
    <row r="61" spans="2:13" x14ac:dyDescent="0.25">
      <c r="B61" s="326" t="s">
        <v>530</v>
      </c>
      <c r="C61" s="323">
        <f t="shared" si="13"/>
        <v>31</v>
      </c>
      <c r="D61" s="322">
        <f t="shared" si="14"/>
        <v>0</v>
      </c>
      <c r="E61" s="322">
        <f t="shared" si="15"/>
        <v>0</v>
      </c>
      <c r="F61" s="322">
        <f t="shared" si="16"/>
        <v>0</v>
      </c>
      <c r="I61" s="324" t="str">
        <f t="shared" si="17"/>
        <v>Oct</v>
      </c>
      <c r="J61" s="323">
        <f t="shared" si="17"/>
        <v>31</v>
      </c>
      <c r="K61" s="322">
        <f t="shared" si="18"/>
        <v>0</v>
      </c>
      <c r="L61" s="322">
        <f t="shared" si="19"/>
        <v>0</v>
      </c>
      <c r="M61" s="322">
        <f t="shared" si="20"/>
        <v>0</v>
      </c>
    </row>
    <row r="62" spans="2:13" x14ac:dyDescent="0.25">
      <c r="B62" s="326" t="s">
        <v>529</v>
      </c>
      <c r="C62" s="323">
        <f t="shared" si="13"/>
        <v>30</v>
      </c>
      <c r="D62" s="322">
        <f t="shared" si="14"/>
        <v>0</v>
      </c>
      <c r="E62" s="322">
        <f t="shared" si="15"/>
        <v>0</v>
      </c>
      <c r="F62" s="322">
        <f t="shared" si="16"/>
        <v>0</v>
      </c>
      <c r="I62" s="324" t="str">
        <f t="shared" si="17"/>
        <v>Nov</v>
      </c>
      <c r="J62" s="323">
        <f t="shared" si="17"/>
        <v>30</v>
      </c>
      <c r="K62" s="322">
        <f t="shared" si="18"/>
        <v>0</v>
      </c>
      <c r="L62" s="322">
        <f t="shared" si="19"/>
        <v>0</v>
      </c>
      <c r="M62" s="322">
        <f t="shared" si="20"/>
        <v>0</v>
      </c>
    </row>
    <row r="63" spans="2:13" ht="15.75" thickBot="1" x14ac:dyDescent="0.3">
      <c r="B63" s="325" t="s">
        <v>528</v>
      </c>
      <c r="C63" s="323">
        <f t="shared" si="13"/>
        <v>31</v>
      </c>
      <c r="D63" s="322">
        <f t="shared" si="14"/>
        <v>0</v>
      </c>
      <c r="E63" s="322">
        <f t="shared" si="15"/>
        <v>0</v>
      </c>
      <c r="F63" s="322">
        <f t="shared" si="16"/>
        <v>0</v>
      </c>
      <c r="I63" s="324" t="str">
        <f t="shared" si="17"/>
        <v>Dec</v>
      </c>
      <c r="J63" s="323">
        <f t="shared" si="17"/>
        <v>31</v>
      </c>
      <c r="K63" s="322">
        <f t="shared" si="18"/>
        <v>0</v>
      </c>
      <c r="L63" s="322">
        <f t="shared" si="19"/>
        <v>0</v>
      </c>
      <c r="M63" s="322">
        <f t="shared" si="20"/>
        <v>0</v>
      </c>
    </row>
    <row r="64" spans="2:13" ht="15.75" thickBot="1" x14ac:dyDescent="0.3">
      <c r="B64" s="321" t="s">
        <v>521</v>
      </c>
      <c r="C64" s="320"/>
      <c r="D64" s="319">
        <f>SQRT(SUM(D52:D63)/(12-1))/AVERAGE(E4:E15)</f>
        <v>0</v>
      </c>
      <c r="E64" s="319">
        <f>SQRT(SUM(E52:E63)/(12-1))/AVERAGE(F4:F15)</f>
        <v>0</v>
      </c>
      <c r="F64" s="319" t="e">
        <f>SQRT(SUM(F52:F63)/(12-1))/AVERAGE(G4:G15)</f>
        <v>#DIV/0!</v>
      </c>
      <c r="I64" s="321" t="s">
        <v>522</v>
      </c>
      <c r="J64" s="320"/>
      <c r="K64" s="319">
        <f>SUM(K52:K63)/((12-1)*AVERAGE(E4:E15))</f>
        <v>0</v>
      </c>
      <c r="L64" s="319">
        <f>SUM(L52:L63)/((12-1)*AVERAGE(F4:F15))</f>
        <v>0</v>
      </c>
      <c r="M64" s="319" t="e">
        <f>SUM(M52:M63)/((12-1)*AVERAGE(G4:G15))</f>
        <v>#DIV/0!</v>
      </c>
    </row>
  </sheetData>
  <mergeCells count="21">
    <mergeCell ref="B10:C10"/>
    <mergeCell ref="B11:C11"/>
    <mergeCell ref="I34:M34"/>
    <mergeCell ref="B50:F50"/>
    <mergeCell ref="I50:M50"/>
    <mergeCell ref="B12:C12"/>
    <mergeCell ref="B13:C13"/>
    <mergeCell ref="B14:C14"/>
    <mergeCell ref="B15:C15"/>
    <mergeCell ref="B16:C16"/>
    <mergeCell ref="B34:F34"/>
    <mergeCell ref="B5:C5"/>
    <mergeCell ref="B6:C6"/>
    <mergeCell ref="B7:C7"/>
    <mergeCell ref="B8:C8"/>
    <mergeCell ref="B9:C9"/>
    <mergeCell ref="B2:C2"/>
    <mergeCell ref="E2:G2"/>
    <mergeCell ref="I2:K2"/>
    <mergeCell ref="B3:C3"/>
    <mergeCell ref="B4:C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A186E-155E-4DA8-A5C3-A1F8E20D180E}">
  <dimension ref="B2:N64"/>
  <sheetViews>
    <sheetView topLeftCell="A22" workbookViewId="0">
      <selection activeCell="I50" sqref="I50:M50"/>
    </sheetView>
  </sheetViews>
  <sheetFormatPr defaultRowHeight="15" x14ac:dyDescent="0.25"/>
  <cols>
    <col min="1" max="1" width="3.140625" customWidth="1"/>
    <col min="4" max="4" width="12.85546875" customWidth="1"/>
    <col min="5" max="5" width="13.85546875" customWidth="1"/>
    <col min="6" max="6" width="15" customWidth="1"/>
    <col min="8" max="8" width="3" customWidth="1"/>
    <col min="10" max="10" width="9.7109375" bestFit="1" customWidth="1"/>
    <col min="11" max="11" width="13" customWidth="1"/>
    <col min="12" max="12" width="13.5703125" customWidth="1"/>
    <col min="13" max="13" width="13" customWidth="1"/>
    <col min="15" max="15" width="3.140625" customWidth="1"/>
  </cols>
  <sheetData>
    <row r="2" spans="2:14" ht="29.25" customHeight="1" x14ac:dyDescent="0.25">
      <c r="B2" s="520"/>
      <c r="C2" s="520"/>
      <c r="D2" s="351"/>
      <c r="E2" s="521" t="s">
        <v>561</v>
      </c>
      <c r="F2" s="522"/>
      <c r="G2" s="521"/>
      <c r="H2" s="350"/>
      <c r="I2" s="524" t="s">
        <v>560</v>
      </c>
      <c r="J2" s="525"/>
      <c r="K2" s="526"/>
    </row>
    <row r="3" spans="2:14" ht="33.75" x14ac:dyDescent="0.25">
      <c r="B3" s="523" t="s">
        <v>544</v>
      </c>
      <c r="C3" s="523"/>
      <c r="D3" s="347" t="s">
        <v>543</v>
      </c>
      <c r="E3" s="348" t="s">
        <v>590</v>
      </c>
      <c r="F3" s="347" t="s">
        <v>589</v>
      </c>
      <c r="G3" s="348" t="s">
        <v>588</v>
      </c>
      <c r="H3" s="349"/>
      <c r="I3" s="348" t="s">
        <v>590</v>
      </c>
      <c r="J3" s="347" t="s">
        <v>589</v>
      </c>
      <c r="K3" s="348" t="s">
        <v>588</v>
      </c>
      <c r="L3" s="348" t="s">
        <v>587</v>
      </c>
      <c r="M3" s="348" t="s">
        <v>586</v>
      </c>
      <c r="N3" s="348" t="s">
        <v>585</v>
      </c>
    </row>
    <row r="4" spans="2:14" x14ac:dyDescent="0.25">
      <c r="B4" s="523" t="s">
        <v>539</v>
      </c>
      <c r="C4" s="523"/>
      <c r="D4" s="347">
        <v>31</v>
      </c>
      <c r="E4" s="345">
        <v>1</v>
      </c>
      <c r="F4" s="345">
        <v>1</v>
      </c>
      <c r="G4" s="345">
        <v>0</v>
      </c>
      <c r="H4" s="346"/>
      <c r="I4" s="345">
        <v>1</v>
      </c>
      <c r="J4" s="345">
        <v>1</v>
      </c>
      <c r="K4" s="345">
        <v>0</v>
      </c>
      <c r="L4" s="342">
        <f t="shared" ref="L4:L16" si="0">1-E4/I4</f>
        <v>0</v>
      </c>
      <c r="M4" s="342">
        <f t="shared" ref="M4:M16" si="1">1-F4/J4</f>
        <v>0</v>
      </c>
      <c r="N4" s="342" t="e">
        <f t="shared" ref="N4:N16" si="2">1-G4/K4</f>
        <v>#DIV/0!</v>
      </c>
    </row>
    <row r="5" spans="2:14" x14ac:dyDescent="0.25">
      <c r="B5" s="523" t="s">
        <v>538</v>
      </c>
      <c r="C5" s="523"/>
      <c r="D5" s="347">
        <f>IF(ISEVEN('Matching Summary'!D12/2), 29, 28)</f>
        <v>28</v>
      </c>
      <c r="E5" s="345">
        <v>1</v>
      </c>
      <c r="F5" s="345">
        <v>1</v>
      </c>
      <c r="G5" s="345">
        <v>0</v>
      </c>
      <c r="H5" s="346"/>
      <c r="I5" s="345">
        <v>1</v>
      </c>
      <c r="J5" s="345">
        <v>1</v>
      </c>
      <c r="K5" s="345">
        <v>0</v>
      </c>
      <c r="L5" s="342">
        <f t="shared" si="0"/>
        <v>0</v>
      </c>
      <c r="M5" s="342">
        <f t="shared" si="1"/>
        <v>0</v>
      </c>
      <c r="N5" s="342" t="e">
        <f t="shared" si="2"/>
        <v>#DIV/0!</v>
      </c>
    </row>
    <row r="6" spans="2:14" x14ac:dyDescent="0.25">
      <c r="B6" s="523" t="s">
        <v>537</v>
      </c>
      <c r="C6" s="523"/>
      <c r="D6" s="347">
        <v>31</v>
      </c>
      <c r="E6" s="345">
        <v>1</v>
      </c>
      <c r="F6" s="345">
        <v>1</v>
      </c>
      <c r="G6" s="345">
        <v>0</v>
      </c>
      <c r="H6" s="346"/>
      <c r="I6" s="345">
        <v>1</v>
      </c>
      <c r="J6" s="345">
        <v>1</v>
      </c>
      <c r="K6" s="345">
        <v>0</v>
      </c>
      <c r="L6" s="342">
        <f t="shared" si="0"/>
        <v>0</v>
      </c>
      <c r="M6" s="342">
        <f t="shared" si="1"/>
        <v>0</v>
      </c>
      <c r="N6" s="342" t="e">
        <f t="shared" si="2"/>
        <v>#DIV/0!</v>
      </c>
    </row>
    <row r="7" spans="2:14" x14ac:dyDescent="0.25">
      <c r="B7" s="523" t="s">
        <v>536</v>
      </c>
      <c r="C7" s="523"/>
      <c r="D7" s="347">
        <v>30</v>
      </c>
      <c r="E7" s="345">
        <v>1</v>
      </c>
      <c r="F7" s="345">
        <v>1</v>
      </c>
      <c r="G7" s="345">
        <v>0</v>
      </c>
      <c r="H7" s="346"/>
      <c r="I7" s="345">
        <v>1</v>
      </c>
      <c r="J7" s="345">
        <v>1</v>
      </c>
      <c r="K7" s="345">
        <v>0</v>
      </c>
      <c r="L7" s="342">
        <f t="shared" si="0"/>
        <v>0</v>
      </c>
      <c r="M7" s="342">
        <f t="shared" si="1"/>
        <v>0</v>
      </c>
      <c r="N7" s="342" t="e">
        <f t="shared" si="2"/>
        <v>#DIV/0!</v>
      </c>
    </row>
    <row r="8" spans="2:14" ht="15" customHeight="1" x14ac:dyDescent="0.25">
      <c r="B8" s="523" t="s">
        <v>535</v>
      </c>
      <c r="C8" s="523"/>
      <c r="D8" s="347">
        <v>31</v>
      </c>
      <c r="E8" s="345">
        <v>1</v>
      </c>
      <c r="F8" s="345">
        <v>1</v>
      </c>
      <c r="G8" s="345">
        <v>0</v>
      </c>
      <c r="H8" s="346"/>
      <c r="I8" s="345">
        <v>1</v>
      </c>
      <c r="J8" s="345">
        <v>1</v>
      </c>
      <c r="K8" s="345">
        <v>0</v>
      </c>
      <c r="L8" s="342">
        <f t="shared" si="0"/>
        <v>0</v>
      </c>
      <c r="M8" s="342">
        <f t="shared" si="1"/>
        <v>0</v>
      </c>
      <c r="N8" s="342" t="e">
        <f t="shared" si="2"/>
        <v>#DIV/0!</v>
      </c>
    </row>
    <row r="9" spans="2:14" ht="15" customHeight="1" x14ac:dyDescent="0.25">
      <c r="B9" s="523" t="s">
        <v>534</v>
      </c>
      <c r="C9" s="523"/>
      <c r="D9" s="347">
        <v>30</v>
      </c>
      <c r="E9" s="345">
        <v>1</v>
      </c>
      <c r="F9" s="345">
        <v>1</v>
      </c>
      <c r="G9" s="345">
        <v>0</v>
      </c>
      <c r="H9" s="346"/>
      <c r="I9" s="345">
        <v>1</v>
      </c>
      <c r="J9" s="345">
        <v>1</v>
      </c>
      <c r="K9" s="345">
        <v>0</v>
      </c>
      <c r="L9" s="342">
        <f t="shared" si="0"/>
        <v>0</v>
      </c>
      <c r="M9" s="342">
        <f t="shared" si="1"/>
        <v>0</v>
      </c>
      <c r="N9" s="342" t="e">
        <f t="shared" si="2"/>
        <v>#DIV/0!</v>
      </c>
    </row>
    <row r="10" spans="2:14" x14ac:dyDescent="0.25">
      <c r="B10" s="523" t="s">
        <v>533</v>
      </c>
      <c r="C10" s="523"/>
      <c r="D10" s="347">
        <v>31</v>
      </c>
      <c r="E10" s="345">
        <v>1</v>
      </c>
      <c r="F10" s="345">
        <v>1</v>
      </c>
      <c r="G10" s="345">
        <v>0</v>
      </c>
      <c r="H10" s="346"/>
      <c r="I10" s="345">
        <v>1</v>
      </c>
      <c r="J10" s="345">
        <v>1</v>
      </c>
      <c r="K10" s="345">
        <v>0</v>
      </c>
      <c r="L10" s="342">
        <f t="shared" si="0"/>
        <v>0</v>
      </c>
      <c r="M10" s="342">
        <f t="shared" si="1"/>
        <v>0</v>
      </c>
      <c r="N10" s="342" t="e">
        <f t="shared" si="2"/>
        <v>#DIV/0!</v>
      </c>
    </row>
    <row r="11" spans="2:14" ht="15" customHeight="1" x14ac:dyDescent="0.25">
      <c r="B11" s="523" t="s">
        <v>532</v>
      </c>
      <c r="C11" s="523"/>
      <c r="D11" s="347">
        <v>31</v>
      </c>
      <c r="E11" s="345">
        <v>1</v>
      </c>
      <c r="F11" s="345">
        <v>1</v>
      </c>
      <c r="G11" s="345">
        <v>0</v>
      </c>
      <c r="H11" s="346"/>
      <c r="I11" s="345">
        <v>1</v>
      </c>
      <c r="J11" s="345">
        <v>1</v>
      </c>
      <c r="K11" s="345">
        <v>0</v>
      </c>
      <c r="L11" s="342">
        <f t="shared" si="0"/>
        <v>0</v>
      </c>
      <c r="M11" s="342">
        <f t="shared" si="1"/>
        <v>0</v>
      </c>
      <c r="N11" s="342" t="e">
        <f t="shared" si="2"/>
        <v>#DIV/0!</v>
      </c>
    </row>
    <row r="12" spans="2:14" ht="15" customHeight="1" x14ac:dyDescent="0.25">
      <c r="B12" s="523" t="s">
        <v>531</v>
      </c>
      <c r="C12" s="523"/>
      <c r="D12" s="347">
        <v>30</v>
      </c>
      <c r="E12" s="345">
        <v>1</v>
      </c>
      <c r="F12" s="345">
        <v>1</v>
      </c>
      <c r="G12" s="345">
        <v>0</v>
      </c>
      <c r="H12" s="346"/>
      <c r="I12" s="345">
        <v>1</v>
      </c>
      <c r="J12" s="345">
        <v>1</v>
      </c>
      <c r="K12" s="345">
        <v>0</v>
      </c>
      <c r="L12" s="342">
        <f t="shared" si="0"/>
        <v>0</v>
      </c>
      <c r="M12" s="342">
        <f t="shared" si="1"/>
        <v>0</v>
      </c>
      <c r="N12" s="342" t="e">
        <f t="shared" si="2"/>
        <v>#DIV/0!</v>
      </c>
    </row>
    <row r="13" spans="2:14" ht="15" customHeight="1" x14ac:dyDescent="0.25">
      <c r="B13" s="523" t="s">
        <v>530</v>
      </c>
      <c r="C13" s="523"/>
      <c r="D13" s="347">
        <v>31</v>
      </c>
      <c r="E13" s="345">
        <v>1</v>
      </c>
      <c r="F13" s="345">
        <v>1</v>
      </c>
      <c r="G13" s="345">
        <v>0</v>
      </c>
      <c r="H13" s="346"/>
      <c r="I13" s="345">
        <v>1</v>
      </c>
      <c r="J13" s="345">
        <v>1</v>
      </c>
      <c r="K13" s="345">
        <v>0</v>
      </c>
      <c r="L13" s="342">
        <f t="shared" si="0"/>
        <v>0</v>
      </c>
      <c r="M13" s="342">
        <f t="shared" si="1"/>
        <v>0</v>
      </c>
      <c r="N13" s="342" t="e">
        <f t="shared" si="2"/>
        <v>#DIV/0!</v>
      </c>
    </row>
    <row r="14" spans="2:14" ht="15" customHeight="1" x14ac:dyDescent="0.25">
      <c r="B14" s="523" t="s">
        <v>529</v>
      </c>
      <c r="C14" s="523"/>
      <c r="D14" s="347">
        <v>30</v>
      </c>
      <c r="E14" s="345">
        <v>1</v>
      </c>
      <c r="F14" s="345">
        <v>1</v>
      </c>
      <c r="G14" s="345">
        <v>0</v>
      </c>
      <c r="H14" s="346"/>
      <c r="I14" s="345">
        <v>1</v>
      </c>
      <c r="J14" s="345">
        <v>1</v>
      </c>
      <c r="K14" s="345">
        <v>0</v>
      </c>
      <c r="L14" s="342">
        <f t="shared" si="0"/>
        <v>0</v>
      </c>
      <c r="M14" s="342">
        <f t="shared" si="1"/>
        <v>0</v>
      </c>
      <c r="N14" s="342" t="e">
        <f t="shared" si="2"/>
        <v>#DIV/0!</v>
      </c>
    </row>
    <row r="15" spans="2:14" ht="15" customHeight="1" x14ac:dyDescent="0.25">
      <c r="B15" s="523" t="s">
        <v>528</v>
      </c>
      <c r="C15" s="523"/>
      <c r="D15" s="347">
        <v>31</v>
      </c>
      <c r="E15" s="345">
        <v>1</v>
      </c>
      <c r="F15" s="345">
        <v>1</v>
      </c>
      <c r="G15" s="345">
        <v>0</v>
      </c>
      <c r="H15" s="346"/>
      <c r="I15" s="345">
        <v>1</v>
      </c>
      <c r="J15" s="345">
        <v>1</v>
      </c>
      <c r="K15" s="345">
        <v>0</v>
      </c>
      <c r="L15" s="342">
        <f t="shared" si="0"/>
        <v>0</v>
      </c>
      <c r="M15" s="342">
        <f t="shared" si="1"/>
        <v>0</v>
      </c>
      <c r="N15" s="342" t="e">
        <f t="shared" si="2"/>
        <v>#DIV/0!</v>
      </c>
    </row>
    <row r="16" spans="2:14" x14ac:dyDescent="0.25">
      <c r="B16" s="533" t="s">
        <v>553</v>
      </c>
      <c r="C16" s="533"/>
      <c r="D16" s="343">
        <f>SUM(D4:D15)</f>
        <v>365</v>
      </c>
      <c r="E16" s="343">
        <f>SUM(E4:E15)</f>
        <v>12</v>
      </c>
      <c r="F16" s="343">
        <f>SUM(F4:F15)</f>
        <v>12</v>
      </c>
      <c r="G16" s="343">
        <f>SUM(G4:G15)</f>
        <v>0</v>
      </c>
      <c r="H16" s="344"/>
      <c r="I16" s="343">
        <f>SUM(I4:I15)</f>
        <v>12</v>
      </c>
      <c r="J16" s="343">
        <f>SUM(J4:J15)</f>
        <v>12</v>
      </c>
      <c r="K16" s="343">
        <f>SUM(K4:K15)</f>
        <v>0</v>
      </c>
      <c r="L16" s="342">
        <f t="shared" si="0"/>
        <v>0</v>
      </c>
      <c r="M16" s="342">
        <f t="shared" si="1"/>
        <v>0</v>
      </c>
      <c r="N16" s="342" t="e">
        <f t="shared" si="2"/>
        <v>#DIV/0!</v>
      </c>
    </row>
    <row r="34" spans="2:13" x14ac:dyDescent="0.25">
      <c r="B34" s="527" t="s">
        <v>552</v>
      </c>
      <c r="C34" s="528"/>
      <c r="D34" s="528"/>
      <c r="E34" s="528"/>
      <c r="F34" s="529"/>
      <c r="I34" s="527" t="s">
        <v>552</v>
      </c>
      <c r="J34" s="528"/>
      <c r="K34" s="528"/>
      <c r="L34" s="528"/>
      <c r="M34" s="529"/>
    </row>
    <row r="35" spans="2:13" ht="30.75" thickBot="1" x14ac:dyDescent="0.3">
      <c r="B35" s="341" t="s">
        <v>544</v>
      </c>
      <c r="C35" s="339" t="s">
        <v>543</v>
      </c>
      <c r="D35" s="339" t="s">
        <v>584</v>
      </c>
      <c r="E35" s="352" t="s">
        <v>583</v>
      </c>
      <c r="F35" s="339" t="s">
        <v>549</v>
      </c>
      <c r="I35" s="341" t="s">
        <v>544</v>
      </c>
      <c r="J35" s="339" t="s">
        <v>543</v>
      </c>
      <c r="K35" s="339" t="s">
        <v>584</v>
      </c>
      <c r="L35" s="352" t="s">
        <v>583</v>
      </c>
      <c r="M35" s="339" t="s">
        <v>549</v>
      </c>
    </row>
    <row r="36" spans="2:13" ht="15.75" thickTop="1" x14ac:dyDescent="0.25">
      <c r="B36" s="335" t="str">
        <f t="shared" ref="B36:B47" si="3">B4</f>
        <v>Jan</v>
      </c>
      <c r="C36" s="334">
        <f t="shared" ref="C36:C47" si="4">D4</f>
        <v>31</v>
      </c>
      <c r="D36" s="338">
        <f t="shared" ref="D36:D48" si="5">I4-E4</f>
        <v>0</v>
      </c>
      <c r="E36" s="338">
        <f t="shared" ref="E36:E48" si="6">J4-F4</f>
        <v>0</v>
      </c>
      <c r="F36" s="338">
        <f t="shared" ref="F36:F48" si="7">K4-G4</f>
        <v>0</v>
      </c>
      <c r="I36" s="335" t="str">
        <f t="shared" ref="I36:I47" si="8">B4</f>
        <v>Jan</v>
      </c>
      <c r="J36" s="334">
        <f t="shared" ref="J36:J47" si="9">D4</f>
        <v>31</v>
      </c>
      <c r="K36" s="337">
        <f t="shared" ref="K36:K48" si="10">D36/E4</f>
        <v>0</v>
      </c>
      <c r="L36" s="337">
        <f t="shared" ref="L36:L48" si="11">E36/F4</f>
        <v>0</v>
      </c>
      <c r="M36" s="337" t="e">
        <f t="shared" ref="M36:M48" si="12">F36/G4</f>
        <v>#DIV/0!</v>
      </c>
    </row>
    <row r="37" spans="2:13" x14ac:dyDescent="0.25">
      <c r="B37" s="335" t="str">
        <f t="shared" si="3"/>
        <v>Feb</v>
      </c>
      <c r="C37" s="334">
        <f t="shared" si="4"/>
        <v>28</v>
      </c>
      <c r="D37" s="338">
        <f t="shared" si="5"/>
        <v>0</v>
      </c>
      <c r="E37" s="338">
        <f t="shared" si="6"/>
        <v>0</v>
      </c>
      <c r="F37" s="338">
        <f t="shared" si="7"/>
        <v>0</v>
      </c>
      <c r="I37" s="335" t="str">
        <f t="shared" si="8"/>
        <v>Feb</v>
      </c>
      <c r="J37" s="334">
        <f t="shared" si="9"/>
        <v>28</v>
      </c>
      <c r="K37" s="337">
        <f t="shared" si="10"/>
        <v>0</v>
      </c>
      <c r="L37" s="337">
        <f t="shared" si="11"/>
        <v>0</v>
      </c>
      <c r="M37" s="337" t="e">
        <f t="shared" si="12"/>
        <v>#DIV/0!</v>
      </c>
    </row>
    <row r="38" spans="2:13" x14ac:dyDescent="0.25">
      <c r="B38" s="335" t="str">
        <f t="shared" si="3"/>
        <v>Mar</v>
      </c>
      <c r="C38" s="334">
        <f t="shared" si="4"/>
        <v>31</v>
      </c>
      <c r="D38" s="338">
        <f t="shared" si="5"/>
        <v>0</v>
      </c>
      <c r="E38" s="338">
        <f t="shared" si="6"/>
        <v>0</v>
      </c>
      <c r="F38" s="338">
        <f t="shared" si="7"/>
        <v>0</v>
      </c>
      <c r="I38" s="335" t="str">
        <f t="shared" si="8"/>
        <v>Mar</v>
      </c>
      <c r="J38" s="334">
        <f t="shared" si="9"/>
        <v>31</v>
      </c>
      <c r="K38" s="337">
        <f t="shared" si="10"/>
        <v>0</v>
      </c>
      <c r="L38" s="337">
        <f t="shared" si="11"/>
        <v>0</v>
      </c>
      <c r="M38" s="337" t="e">
        <f t="shared" si="12"/>
        <v>#DIV/0!</v>
      </c>
    </row>
    <row r="39" spans="2:13" x14ac:dyDescent="0.25">
      <c r="B39" s="335" t="str">
        <f t="shared" si="3"/>
        <v>Apr</v>
      </c>
      <c r="C39" s="334">
        <f t="shared" si="4"/>
        <v>30</v>
      </c>
      <c r="D39" s="338">
        <f t="shared" si="5"/>
        <v>0</v>
      </c>
      <c r="E39" s="338">
        <f t="shared" si="6"/>
        <v>0</v>
      </c>
      <c r="F39" s="338">
        <f t="shared" si="7"/>
        <v>0</v>
      </c>
      <c r="I39" s="335" t="str">
        <f t="shared" si="8"/>
        <v>Apr</v>
      </c>
      <c r="J39" s="334">
        <f t="shared" si="9"/>
        <v>30</v>
      </c>
      <c r="K39" s="337">
        <f t="shared" si="10"/>
        <v>0</v>
      </c>
      <c r="L39" s="337">
        <f t="shared" si="11"/>
        <v>0</v>
      </c>
      <c r="M39" s="337" t="e">
        <f t="shared" si="12"/>
        <v>#DIV/0!</v>
      </c>
    </row>
    <row r="40" spans="2:13" x14ac:dyDescent="0.25">
      <c r="B40" s="335" t="str">
        <f t="shared" si="3"/>
        <v>May</v>
      </c>
      <c r="C40" s="334">
        <f t="shared" si="4"/>
        <v>31</v>
      </c>
      <c r="D40" s="338">
        <f t="shared" si="5"/>
        <v>0</v>
      </c>
      <c r="E40" s="338">
        <f t="shared" si="6"/>
        <v>0</v>
      </c>
      <c r="F40" s="338">
        <f t="shared" si="7"/>
        <v>0</v>
      </c>
      <c r="I40" s="335" t="str">
        <f t="shared" si="8"/>
        <v>May</v>
      </c>
      <c r="J40" s="334">
        <f t="shared" si="9"/>
        <v>31</v>
      </c>
      <c r="K40" s="337">
        <f t="shared" si="10"/>
        <v>0</v>
      </c>
      <c r="L40" s="337">
        <f t="shared" si="11"/>
        <v>0</v>
      </c>
      <c r="M40" s="337" t="e">
        <f t="shared" si="12"/>
        <v>#DIV/0!</v>
      </c>
    </row>
    <row r="41" spans="2:13" x14ac:dyDescent="0.25">
      <c r="B41" s="335" t="str">
        <f t="shared" si="3"/>
        <v>Jun</v>
      </c>
      <c r="C41" s="334">
        <f t="shared" si="4"/>
        <v>30</v>
      </c>
      <c r="D41" s="338">
        <f t="shared" si="5"/>
        <v>0</v>
      </c>
      <c r="E41" s="338">
        <f t="shared" si="6"/>
        <v>0</v>
      </c>
      <c r="F41" s="338">
        <f t="shared" si="7"/>
        <v>0</v>
      </c>
      <c r="I41" s="335" t="str">
        <f t="shared" si="8"/>
        <v>Jun</v>
      </c>
      <c r="J41" s="334">
        <f t="shared" si="9"/>
        <v>30</v>
      </c>
      <c r="K41" s="337">
        <f t="shared" si="10"/>
        <v>0</v>
      </c>
      <c r="L41" s="337">
        <f t="shared" si="11"/>
        <v>0</v>
      </c>
      <c r="M41" s="337" t="e">
        <f t="shared" si="12"/>
        <v>#DIV/0!</v>
      </c>
    </row>
    <row r="42" spans="2:13" x14ac:dyDescent="0.25">
      <c r="B42" s="335" t="str">
        <f t="shared" si="3"/>
        <v>Jul</v>
      </c>
      <c r="C42" s="334">
        <f t="shared" si="4"/>
        <v>31</v>
      </c>
      <c r="D42" s="338">
        <f t="shared" si="5"/>
        <v>0</v>
      </c>
      <c r="E42" s="338">
        <f t="shared" si="6"/>
        <v>0</v>
      </c>
      <c r="F42" s="338">
        <f t="shared" si="7"/>
        <v>0</v>
      </c>
      <c r="I42" s="335" t="str">
        <f t="shared" si="8"/>
        <v>Jul</v>
      </c>
      <c r="J42" s="334">
        <f t="shared" si="9"/>
        <v>31</v>
      </c>
      <c r="K42" s="337">
        <f t="shared" si="10"/>
        <v>0</v>
      </c>
      <c r="L42" s="337">
        <f t="shared" si="11"/>
        <v>0</v>
      </c>
      <c r="M42" s="337" t="e">
        <f t="shared" si="12"/>
        <v>#DIV/0!</v>
      </c>
    </row>
    <row r="43" spans="2:13" x14ac:dyDescent="0.25">
      <c r="B43" s="335" t="str">
        <f t="shared" si="3"/>
        <v>Aug</v>
      </c>
      <c r="C43" s="334">
        <f t="shared" si="4"/>
        <v>31</v>
      </c>
      <c r="D43" s="338">
        <f t="shared" si="5"/>
        <v>0</v>
      </c>
      <c r="E43" s="338">
        <f t="shared" si="6"/>
        <v>0</v>
      </c>
      <c r="F43" s="338">
        <f t="shared" si="7"/>
        <v>0</v>
      </c>
      <c r="I43" s="335" t="str">
        <f t="shared" si="8"/>
        <v>Aug</v>
      </c>
      <c r="J43" s="334">
        <f t="shared" si="9"/>
        <v>31</v>
      </c>
      <c r="K43" s="337">
        <f t="shared" si="10"/>
        <v>0</v>
      </c>
      <c r="L43" s="337">
        <f t="shared" si="11"/>
        <v>0</v>
      </c>
      <c r="M43" s="337" t="e">
        <f t="shared" si="12"/>
        <v>#DIV/0!</v>
      </c>
    </row>
    <row r="44" spans="2:13" x14ac:dyDescent="0.25">
      <c r="B44" s="335" t="str">
        <f t="shared" si="3"/>
        <v>Sep</v>
      </c>
      <c r="C44" s="334">
        <f t="shared" si="4"/>
        <v>30</v>
      </c>
      <c r="D44" s="338">
        <f t="shared" si="5"/>
        <v>0</v>
      </c>
      <c r="E44" s="338">
        <f t="shared" si="6"/>
        <v>0</v>
      </c>
      <c r="F44" s="338">
        <f t="shared" si="7"/>
        <v>0</v>
      </c>
      <c r="I44" s="335" t="str">
        <f t="shared" si="8"/>
        <v>Sep</v>
      </c>
      <c r="J44" s="334">
        <f t="shared" si="9"/>
        <v>30</v>
      </c>
      <c r="K44" s="337">
        <f t="shared" si="10"/>
        <v>0</v>
      </c>
      <c r="L44" s="337">
        <f t="shared" si="11"/>
        <v>0</v>
      </c>
      <c r="M44" s="337" t="e">
        <f t="shared" si="12"/>
        <v>#DIV/0!</v>
      </c>
    </row>
    <row r="45" spans="2:13" x14ac:dyDescent="0.25">
      <c r="B45" s="335" t="str">
        <f t="shared" si="3"/>
        <v>Oct</v>
      </c>
      <c r="C45" s="334">
        <f t="shared" si="4"/>
        <v>31</v>
      </c>
      <c r="D45" s="338">
        <f t="shared" si="5"/>
        <v>0</v>
      </c>
      <c r="E45" s="338">
        <f t="shared" si="6"/>
        <v>0</v>
      </c>
      <c r="F45" s="338">
        <f t="shared" si="7"/>
        <v>0</v>
      </c>
      <c r="I45" s="335" t="str">
        <f t="shared" si="8"/>
        <v>Oct</v>
      </c>
      <c r="J45" s="334">
        <f t="shared" si="9"/>
        <v>31</v>
      </c>
      <c r="K45" s="337">
        <f t="shared" si="10"/>
        <v>0</v>
      </c>
      <c r="L45" s="337">
        <f t="shared" si="11"/>
        <v>0</v>
      </c>
      <c r="M45" s="337" t="e">
        <f t="shared" si="12"/>
        <v>#DIV/0!</v>
      </c>
    </row>
    <row r="46" spans="2:13" x14ac:dyDescent="0.25">
      <c r="B46" s="335" t="str">
        <f t="shared" si="3"/>
        <v>Nov</v>
      </c>
      <c r="C46" s="334">
        <f t="shared" si="4"/>
        <v>30</v>
      </c>
      <c r="D46" s="338">
        <f t="shared" si="5"/>
        <v>0</v>
      </c>
      <c r="E46" s="338">
        <f t="shared" si="6"/>
        <v>0</v>
      </c>
      <c r="F46" s="338">
        <f t="shared" si="7"/>
        <v>0</v>
      </c>
      <c r="I46" s="335" t="str">
        <f t="shared" si="8"/>
        <v>Nov</v>
      </c>
      <c r="J46" s="334">
        <f t="shared" si="9"/>
        <v>30</v>
      </c>
      <c r="K46" s="337">
        <f t="shared" si="10"/>
        <v>0</v>
      </c>
      <c r="L46" s="337">
        <f t="shared" si="11"/>
        <v>0</v>
      </c>
      <c r="M46" s="337" t="e">
        <f t="shared" si="12"/>
        <v>#DIV/0!</v>
      </c>
    </row>
    <row r="47" spans="2:13" ht="15.75" thickBot="1" x14ac:dyDescent="0.3">
      <c r="B47" s="335" t="str">
        <f t="shared" si="3"/>
        <v>Dec</v>
      </c>
      <c r="C47" s="334">
        <f t="shared" si="4"/>
        <v>31</v>
      </c>
      <c r="D47" s="336">
        <f t="shared" si="5"/>
        <v>0</v>
      </c>
      <c r="E47" s="336">
        <f t="shared" si="6"/>
        <v>0</v>
      </c>
      <c r="F47" s="336">
        <f t="shared" si="7"/>
        <v>0</v>
      </c>
      <c r="I47" s="335" t="str">
        <f t="shared" si="8"/>
        <v>Dec</v>
      </c>
      <c r="J47" s="334">
        <f t="shared" si="9"/>
        <v>31</v>
      </c>
      <c r="K47" s="333">
        <f t="shared" si="10"/>
        <v>0</v>
      </c>
      <c r="L47" s="333">
        <f t="shared" si="11"/>
        <v>0</v>
      </c>
      <c r="M47" s="333" t="e">
        <f t="shared" si="12"/>
        <v>#DIV/0!</v>
      </c>
    </row>
    <row r="48" spans="2:13" ht="15.75" thickTop="1" x14ac:dyDescent="0.25">
      <c r="B48" s="332"/>
      <c r="C48" s="331">
        <f>SUM(C36:C47)</f>
        <v>365</v>
      </c>
      <c r="D48" s="322">
        <f t="shared" si="5"/>
        <v>0</v>
      </c>
      <c r="E48" s="322">
        <f t="shared" si="6"/>
        <v>0</v>
      </c>
      <c r="F48" s="322">
        <f t="shared" si="7"/>
        <v>0</v>
      </c>
      <c r="I48" s="332"/>
      <c r="J48" s="331">
        <f>SUM(J36:J47)</f>
        <v>365</v>
      </c>
      <c r="K48" s="330">
        <f t="shared" si="10"/>
        <v>0</v>
      </c>
      <c r="L48" s="330">
        <f t="shared" si="11"/>
        <v>0</v>
      </c>
      <c r="M48" s="330" t="e">
        <f t="shared" si="12"/>
        <v>#DIV/0!</v>
      </c>
    </row>
    <row r="49" spans="2:13" ht="15.75" thickBot="1" x14ac:dyDescent="0.3"/>
    <row r="50" spans="2:13" ht="15.75" thickBot="1" x14ac:dyDescent="0.3">
      <c r="B50" s="530" t="s">
        <v>548</v>
      </c>
      <c r="C50" s="531"/>
      <c r="D50" s="531"/>
      <c r="E50" s="531"/>
      <c r="F50" s="532"/>
      <c r="I50" s="530" t="s">
        <v>607</v>
      </c>
      <c r="J50" s="531"/>
      <c r="K50" s="531"/>
      <c r="L50" s="531"/>
      <c r="M50" s="532"/>
    </row>
    <row r="51" spans="2:13" ht="30.75" thickBot="1" x14ac:dyDescent="0.3">
      <c r="B51" s="329" t="s">
        <v>544</v>
      </c>
      <c r="C51" s="328" t="s">
        <v>543</v>
      </c>
      <c r="D51" s="328" t="s">
        <v>565</v>
      </c>
      <c r="E51" s="328" t="s">
        <v>564</v>
      </c>
      <c r="F51" s="327" t="s">
        <v>545</v>
      </c>
      <c r="I51" s="329" t="s">
        <v>544</v>
      </c>
      <c r="J51" s="328" t="s">
        <v>543</v>
      </c>
      <c r="K51" s="328" t="s">
        <v>563</v>
      </c>
      <c r="L51" s="328" t="s">
        <v>562</v>
      </c>
      <c r="M51" s="327" t="s">
        <v>540</v>
      </c>
    </row>
    <row r="52" spans="2:13" x14ac:dyDescent="0.25">
      <c r="B52" s="324" t="s">
        <v>539</v>
      </c>
      <c r="C52" s="323">
        <f t="shared" ref="C52:C63" si="13">C36</f>
        <v>31</v>
      </c>
      <c r="D52" s="322">
        <f t="shared" ref="D52:D63" si="14">(E4-I4)^2</f>
        <v>0</v>
      </c>
      <c r="E52" s="322">
        <f t="shared" ref="E52:E63" si="15">(F4-J4)^2</f>
        <v>0</v>
      </c>
      <c r="F52" s="322">
        <f t="shared" ref="F52:F63" si="16">(G4-K4)^2</f>
        <v>0</v>
      </c>
      <c r="I52" s="324" t="str">
        <f t="shared" ref="I52:J63" si="17">I36</f>
        <v>Jan</v>
      </c>
      <c r="J52" s="323">
        <f t="shared" si="17"/>
        <v>31</v>
      </c>
      <c r="K52" s="322">
        <f t="shared" ref="K52:K63" si="18">I4-E4</f>
        <v>0</v>
      </c>
      <c r="L52" s="322">
        <f t="shared" ref="L52:L63" si="19">J4-F4</f>
        <v>0</v>
      </c>
      <c r="M52" s="322">
        <f t="shared" ref="M52:M63" si="20">K4-G4</f>
        <v>0</v>
      </c>
    </row>
    <row r="53" spans="2:13" x14ac:dyDescent="0.25">
      <c r="B53" s="326" t="s">
        <v>538</v>
      </c>
      <c r="C53" s="323">
        <f t="shared" si="13"/>
        <v>28</v>
      </c>
      <c r="D53" s="322">
        <f t="shared" si="14"/>
        <v>0</v>
      </c>
      <c r="E53" s="322">
        <f t="shared" si="15"/>
        <v>0</v>
      </c>
      <c r="F53" s="322">
        <f t="shared" si="16"/>
        <v>0</v>
      </c>
      <c r="I53" s="324" t="str">
        <f t="shared" si="17"/>
        <v>Feb</v>
      </c>
      <c r="J53" s="323">
        <f t="shared" si="17"/>
        <v>28</v>
      </c>
      <c r="K53" s="322">
        <f t="shared" si="18"/>
        <v>0</v>
      </c>
      <c r="L53" s="322">
        <f t="shared" si="19"/>
        <v>0</v>
      </c>
      <c r="M53" s="322">
        <f t="shared" si="20"/>
        <v>0</v>
      </c>
    </row>
    <row r="54" spans="2:13" x14ac:dyDescent="0.25">
      <c r="B54" s="326" t="s">
        <v>537</v>
      </c>
      <c r="C54" s="323">
        <f t="shared" si="13"/>
        <v>31</v>
      </c>
      <c r="D54" s="322">
        <f t="shared" si="14"/>
        <v>0</v>
      </c>
      <c r="E54" s="322">
        <f t="shared" si="15"/>
        <v>0</v>
      </c>
      <c r="F54" s="322">
        <f t="shared" si="16"/>
        <v>0</v>
      </c>
      <c r="I54" s="324" t="str">
        <f t="shared" si="17"/>
        <v>Mar</v>
      </c>
      <c r="J54" s="323">
        <f t="shared" si="17"/>
        <v>31</v>
      </c>
      <c r="K54" s="322">
        <f t="shared" si="18"/>
        <v>0</v>
      </c>
      <c r="L54" s="322">
        <f t="shared" si="19"/>
        <v>0</v>
      </c>
      <c r="M54" s="322">
        <f t="shared" si="20"/>
        <v>0</v>
      </c>
    </row>
    <row r="55" spans="2:13" x14ac:dyDescent="0.25">
      <c r="B55" s="326" t="s">
        <v>536</v>
      </c>
      <c r="C55" s="323">
        <f t="shared" si="13"/>
        <v>30</v>
      </c>
      <c r="D55" s="322">
        <f t="shared" si="14"/>
        <v>0</v>
      </c>
      <c r="E55" s="322">
        <f t="shared" si="15"/>
        <v>0</v>
      </c>
      <c r="F55" s="322">
        <f t="shared" si="16"/>
        <v>0</v>
      </c>
      <c r="I55" s="324" t="str">
        <f t="shared" si="17"/>
        <v>Apr</v>
      </c>
      <c r="J55" s="323">
        <f t="shared" si="17"/>
        <v>30</v>
      </c>
      <c r="K55" s="322">
        <f t="shared" si="18"/>
        <v>0</v>
      </c>
      <c r="L55" s="322">
        <f t="shared" si="19"/>
        <v>0</v>
      </c>
      <c r="M55" s="322">
        <f t="shared" si="20"/>
        <v>0</v>
      </c>
    </row>
    <row r="56" spans="2:13" x14ac:dyDescent="0.25">
      <c r="B56" s="326" t="s">
        <v>535</v>
      </c>
      <c r="C56" s="323">
        <f t="shared" si="13"/>
        <v>31</v>
      </c>
      <c r="D56" s="322">
        <f t="shared" si="14"/>
        <v>0</v>
      </c>
      <c r="E56" s="322">
        <f t="shared" si="15"/>
        <v>0</v>
      </c>
      <c r="F56" s="322">
        <f t="shared" si="16"/>
        <v>0</v>
      </c>
      <c r="I56" s="324" t="str">
        <f t="shared" si="17"/>
        <v>May</v>
      </c>
      <c r="J56" s="323">
        <f t="shared" si="17"/>
        <v>31</v>
      </c>
      <c r="K56" s="322">
        <f t="shared" si="18"/>
        <v>0</v>
      </c>
      <c r="L56" s="322">
        <f t="shared" si="19"/>
        <v>0</v>
      </c>
      <c r="M56" s="322">
        <f t="shared" si="20"/>
        <v>0</v>
      </c>
    </row>
    <row r="57" spans="2:13" x14ac:dyDescent="0.25">
      <c r="B57" s="326" t="s">
        <v>534</v>
      </c>
      <c r="C57" s="323">
        <f t="shared" si="13"/>
        <v>30</v>
      </c>
      <c r="D57" s="322">
        <f t="shared" si="14"/>
        <v>0</v>
      </c>
      <c r="E57" s="322">
        <f t="shared" si="15"/>
        <v>0</v>
      </c>
      <c r="F57" s="322">
        <f t="shared" si="16"/>
        <v>0</v>
      </c>
      <c r="I57" s="324" t="str">
        <f t="shared" si="17"/>
        <v>Jun</v>
      </c>
      <c r="J57" s="323">
        <f t="shared" si="17"/>
        <v>30</v>
      </c>
      <c r="K57" s="322">
        <f t="shared" si="18"/>
        <v>0</v>
      </c>
      <c r="L57" s="322">
        <f t="shared" si="19"/>
        <v>0</v>
      </c>
      <c r="M57" s="322">
        <f t="shared" si="20"/>
        <v>0</v>
      </c>
    </row>
    <row r="58" spans="2:13" x14ac:dyDescent="0.25">
      <c r="B58" s="326" t="s">
        <v>533</v>
      </c>
      <c r="C58" s="323">
        <f t="shared" si="13"/>
        <v>31</v>
      </c>
      <c r="D58" s="322">
        <f t="shared" si="14"/>
        <v>0</v>
      </c>
      <c r="E58" s="322">
        <f t="shared" si="15"/>
        <v>0</v>
      </c>
      <c r="F58" s="322">
        <f t="shared" si="16"/>
        <v>0</v>
      </c>
      <c r="I58" s="324" t="str">
        <f t="shared" si="17"/>
        <v>Jul</v>
      </c>
      <c r="J58" s="323">
        <f t="shared" si="17"/>
        <v>31</v>
      </c>
      <c r="K58" s="322">
        <f t="shared" si="18"/>
        <v>0</v>
      </c>
      <c r="L58" s="322">
        <f t="shared" si="19"/>
        <v>0</v>
      </c>
      <c r="M58" s="322">
        <f t="shared" si="20"/>
        <v>0</v>
      </c>
    </row>
    <row r="59" spans="2:13" x14ac:dyDescent="0.25">
      <c r="B59" s="326" t="s">
        <v>532</v>
      </c>
      <c r="C59" s="323">
        <f t="shared" si="13"/>
        <v>31</v>
      </c>
      <c r="D59" s="322">
        <f t="shared" si="14"/>
        <v>0</v>
      </c>
      <c r="E59" s="322">
        <f t="shared" si="15"/>
        <v>0</v>
      </c>
      <c r="F59" s="322">
        <f t="shared" si="16"/>
        <v>0</v>
      </c>
      <c r="I59" s="324" t="str">
        <f t="shared" si="17"/>
        <v>Aug</v>
      </c>
      <c r="J59" s="323">
        <f t="shared" si="17"/>
        <v>31</v>
      </c>
      <c r="K59" s="322">
        <f t="shared" si="18"/>
        <v>0</v>
      </c>
      <c r="L59" s="322">
        <f t="shared" si="19"/>
        <v>0</v>
      </c>
      <c r="M59" s="322">
        <f t="shared" si="20"/>
        <v>0</v>
      </c>
    </row>
    <row r="60" spans="2:13" x14ac:dyDescent="0.25">
      <c r="B60" s="326" t="s">
        <v>531</v>
      </c>
      <c r="C60" s="323">
        <f t="shared" si="13"/>
        <v>30</v>
      </c>
      <c r="D60" s="322">
        <f t="shared" si="14"/>
        <v>0</v>
      </c>
      <c r="E60" s="322">
        <f t="shared" si="15"/>
        <v>0</v>
      </c>
      <c r="F60" s="322">
        <f t="shared" si="16"/>
        <v>0</v>
      </c>
      <c r="I60" s="324" t="str">
        <f t="shared" si="17"/>
        <v>Sep</v>
      </c>
      <c r="J60" s="323">
        <f t="shared" si="17"/>
        <v>30</v>
      </c>
      <c r="K60" s="322">
        <f t="shared" si="18"/>
        <v>0</v>
      </c>
      <c r="L60" s="322">
        <f t="shared" si="19"/>
        <v>0</v>
      </c>
      <c r="M60" s="322">
        <f t="shared" si="20"/>
        <v>0</v>
      </c>
    </row>
    <row r="61" spans="2:13" x14ac:dyDescent="0.25">
      <c r="B61" s="326" t="s">
        <v>530</v>
      </c>
      <c r="C61" s="323">
        <f t="shared" si="13"/>
        <v>31</v>
      </c>
      <c r="D61" s="322">
        <f t="shared" si="14"/>
        <v>0</v>
      </c>
      <c r="E61" s="322">
        <f t="shared" si="15"/>
        <v>0</v>
      </c>
      <c r="F61" s="322">
        <f t="shared" si="16"/>
        <v>0</v>
      </c>
      <c r="I61" s="324" t="str">
        <f t="shared" si="17"/>
        <v>Oct</v>
      </c>
      <c r="J61" s="323">
        <f t="shared" si="17"/>
        <v>31</v>
      </c>
      <c r="K61" s="322">
        <f t="shared" si="18"/>
        <v>0</v>
      </c>
      <c r="L61" s="322">
        <f t="shared" si="19"/>
        <v>0</v>
      </c>
      <c r="M61" s="322">
        <f t="shared" si="20"/>
        <v>0</v>
      </c>
    </row>
    <row r="62" spans="2:13" x14ac:dyDescent="0.25">
      <c r="B62" s="326" t="s">
        <v>529</v>
      </c>
      <c r="C62" s="323">
        <f t="shared" si="13"/>
        <v>30</v>
      </c>
      <c r="D62" s="322">
        <f t="shared" si="14"/>
        <v>0</v>
      </c>
      <c r="E62" s="322">
        <f t="shared" si="15"/>
        <v>0</v>
      </c>
      <c r="F62" s="322">
        <f t="shared" si="16"/>
        <v>0</v>
      </c>
      <c r="I62" s="324" t="str">
        <f t="shared" si="17"/>
        <v>Nov</v>
      </c>
      <c r="J62" s="323">
        <f t="shared" si="17"/>
        <v>30</v>
      </c>
      <c r="K62" s="322">
        <f t="shared" si="18"/>
        <v>0</v>
      </c>
      <c r="L62" s="322">
        <f t="shared" si="19"/>
        <v>0</v>
      </c>
      <c r="M62" s="322">
        <f t="shared" si="20"/>
        <v>0</v>
      </c>
    </row>
    <row r="63" spans="2:13" ht="15.75" thickBot="1" x14ac:dyDescent="0.3">
      <c r="B63" s="325" t="s">
        <v>528</v>
      </c>
      <c r="C63" s="323">
        <f t="shared" si="13"/>
        <v>31</v>
      </c>
      <c r="D63" s="322">
        <f t="shared" si="14"/>
        <v>0</v>
      </c>
      <c r="E63" s="322">
        <f t="shared" si="15"/>
        <v>0</v>
      </c>
      <c r="F63" s="322">
        <f t="shared" si="16"/>
        <v>0</v>
      </c>
      <c r="I63" s="324" t="str">
        <f t="shared" si="17"/>
        <v>Dec</v>
      </c>
      <c r="J63" s="323">
        <f t="shared" si="17"/>
        <v>31</v>
      </c>
      <c r="K63" s="322">
        <f t="shared" si="18"/>
        <v>0</v>
      </c>
      <c r="L63" s="322">
        <f t="shared" si="19"/>
        <v>0</v>
      </c>
      <c r="M63" s="322">
        <f t="shared" si="20"/>
        <v>0</v>
      </c>
    </row>
    <row r="64" spans="2:13" ht="15.75" thickBot="1" x14ac:dyDescent="0.3">
      <c r="B64" s="321" t="s">
        <v>521</v>
      </c>
      <c r="C64" s="320"/>
      <c r="D64" s="319">
        <f>SQRT(SUM(D52:D63)/(12-1))/AVERAGE(E4:E15)</f>
        <v>0</v>
      </c>
      <c r="E64" s="319">
        <f>SQRT(SUM(E52:E63)/(12-1))/AVERAGE(F4:F15)</f>
        <v>0</v>
      </c>
      <c r="F64" s="319" t="e">
        <f>SQRT(SUM(F52:F63)/(12-1))/AVERAGE(G4:G15)</f>
        <v>#DIV/0!</v>
      </c>
      <c r="I64" s="321" t="s">
        <v>522</v>
      </c>
      <c r="J64" s="320"/>
      <c r="K64" s="319">
        <f>SUM(K52:K63)/((12-1)*AVERAGE(E4:E15))</f>
        <v>0</v>
      </c>
      <c r="L64" s="319">
        <f>SUM(L52:L63)/((12-1)*AVERAGE(F4:F15))</f>
        <v>0</v>
      </c>
      <c r="M64" s="319" t="e">
        <f>SUM(M52:M63)/((12-1)*AVERAGE(G4:G15))</f>
        <v>#DIV/0!</v>
      </c>
    </row>
  </sheetData>
  <mergeCells count="21">
    <mergeCell ref="B10:C10"/>
    <mergeCell ref="B11:C11"/>
    <mergeCell ref="I34:M34"/>
    <mergeCell ref="B50:F50"/>
    <mergeCell ref="I50:M50"/>
    <mergeCell ref="B12:C12"/>
    <mergeCell ref="B13:C13"/>
    <mergeCell ref="B14:C14"/>
    <mergeCell ref="B15:C15"/>
    <mergeCell ref="B16:C16"/>
    <mergeCell ref="B34:F34"/>
    <mergeCell ref="B5:C5"/>
    <mergeCell ref="B6:C6"/>
    <mergeCell ref="B7:C7"/>
    <mergeCell ref="B8:C8"/>
    <mergeCell ref="B9:C9"/>
    <mergeCell ref="B2:C2"/>
    <mergeCell ref="E2:G2"/>
    <mergeCell ref="I2:K2"/>
    <mergeCell ref="B3:C3"/>
    <mergeCell ref="B4:C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B3FBE-89A6-48E4-97D8-E962D674BCDC}">
  <dimension ref="B2:N64"/>
  <sheetViews>
    <sheetView topLeftCell="A25" workbookViewId="0">
      <selection activeCell="S51" sqref="S51"/>
    </sheetView>
  </sheetViews>
  <sheetFormatPr defaultRowHeight="15" x14ac:dyDescent="0.25"/>
  <cols>
    <col min="1" max="1" width="3.140625" customWidth="1"/>
    <col min="4" max="4" width="12.85546875" customWidth="1"/>
    <col min="5" max="5" width="15.42578125" customWidth="1"/>
    <col min="6" max="6" width="15" customWidth="1"/>
    <col min="8" max="8" width="3" customWidth="1"/>
    <col min="10" max="10" width="9.7109375" bestFit="1" customWidth="1"/>
    <col min="11" max="11" width="14.140625" customWidth="1"/>
    <col min="12" max="12" width="13.5703125" customWidth="1"/>
    <col min="13" max="13" width="13" customWidth="1"/>
    <col min="15" max="15" width="3.140625" customWidth="1"/>
  </cols>
  <sheetData>
    <row r="2" spans="2:14" ht="29.25" customHeight="1" x14ac:dyDescent="0.25">
      <c r="B2" s="520"/>
      <c r="C2" s="520"/>
      <c r="D2" s="351"/>
      <c r="E2" s="521" t="s">
        <v>561</v>
      </c>
      <c r="F2" s="522"/>
      <c r="G2" s="521"/>
      <c r="H2" s="350"/>
      <c r="I2" s="524" t="s">
        <v>560</v>
      </c>
      <c r="J2" s="525"/>
      <c r="K2" s="526"/>
    </row>
    <row r="3" spans="2:14" ht="33.75" x14ac:dyDescent="0.25">
      <c r="B3" s="523" t="s">
        <v>544</v>
      </c>
      <c r="C3" s="523"/>
      <c r="D3" s="347" t="s">
        <v>543</v>
      </c>
      <c r="E3" s="348" t="s">
        <v>598</v>
      </c>
      <c r="F3" s="347" t="s">
        <v>597</v>
      </c>
      <c r="G3" s="348" t="s">
        <v>591</v>
      </c>
      <c r="H3" s="349"/>
      <c r="I3" s="348" t="s">
        <v>598</v>
      </c>
      <c r="J3" s="347" t="s">
        <v>597</v>
      </c>
      <c r="K3" s="348" t="s">
        <v>591</v>
      </c>
      <c r="L3" s="348" t="s">
        <v>596</v>
      </c>
      <c r="M3" s="348" t="s">
        <v>595</v>
      </c>
      <c r="N3" s="348" t="s">
        <v>594</v>
      </c>
    </row>
    <row r="4" spans="2:14" x14ac:dyDescent="0.25">
      <c r="B4" s="523" t="s">
        <v>539</v>
      </c>
      <c r="C4" s="523"/>
      <c r="D4" s="347">
        <v>31</v>
      </c>
      <c r="E4" s="345">
        <v>1</v>
      </c>
      <c r="F4" s="345">
        <v>1</v>
      </c>
      <c r="G4" s="345">
        <v>0</v>
      </c>
      <c r="H4" s="346"/>
      <c r="I4" s="345">
        <v>1</v>
      </c>
      <c r="J4" s="345">
        <v>1</v>
      </c>
      <c r="K4" s="345">
        <v>0</v>
      </c>
      <c r="L4" s="342">
        <f t="shared" ref="L4:L16" si="0">1-E4/I4</f>
        <v>0</v>
      </c>
      <c r="M4" s="342">
        <f t="shared" ref="M4:M16" si="1">1-F4/J4</f>
        <v>0</v>
      </c>
      <c r="N4" s="342" t="e">
        <f t="shared" ref="N4:N16" si="2">1-G4/K4</f>
        <v>#DIV/0!</v>
      </c>
    </row>
    <row r="5" spans="2:14" x14ac:dyDescent="0.25">
      <c r="B5" s="523" t="s">
        <v>538</v>
      </c>
      <c r="C5" s="523"/>
      <c r="D5" s="347">
        <f>IF(ISEVEN('Matching Summary'!D12/2), 29, 28)</f>
        <v>28</v>
      </c>
      <c r="E5" s="345">
        <v>1</v>
      </c>
      <c r="F5" s="345">
        <v>1</v>
      </c>
      <c r="G5" s="345">
        <v>0</v>
      </c>
      <c r="H5" s="346"/>
      <c r="I5" s="345">
        <v>1</v>
      </c>
      <c r="J5" s="345">
        <v>1</v>
      </c>
      <c r="K5" s="345">
        <v>0</v>
      </c>
      <c r="L5" s="342">
        <f t="shared" si="0"/>
        <v>0</v>
      </c>
      <c r="M5" s="342">
        <f t="shared" si="1"/>
        <v>0</v>
      </c>
      <c r="N5" s="342" t="e">
        <f t="shared" si="2"/>
        <v>#DIV/0!</v>
      </c>
    </row>
    <row r="6" spans="2:14" x14ac:dyDescent="0.25">
      <c r="B6" s="523" t="s">
        <v>537</v>
      </c>
      <c r="C6" s="523"/>
      <c r="D6" s="347">
        <v>31</v>
      </c>
      <c r="E6" s="345">
        <v>1</v>
      </c>
      <c r="F6" s="345">
        <v>1</v>
      </c>
      <c r="G6" s="345">
        <v>0</v>
      </c>
      <c r="H6" s="346"/>
      <c r="I6" s="345">
        <v>1</v>
      </c>
      <c r="J6" s="345">
        <v>1</v>
      </c>
      <c r="K6" s="345">
        <v>0</v>
      </c>
      <c r="L6" s="342">
        <f t="shared" si="0"/>
        <v>0</v>
      </c>
      <c r="M6" s="342">
        <f t="shared" si="1"/>
        <v>0</v>
      </c>
      <c r="N6" s="342" t="e">
        <f t="shared" si="2"/>
        <v>#DIV/0!</v>
      </c>
    </row>
    <row r="7" spans="2:14" x14ac:dyDescent="0.25">
      <c r="B7" s="523" t="s">
        <v>536</v>
      </c>
      <c r="C7" s="523"/>
      <c r="D7" s="347">
        <v>30</v>
      </c>
      <c r="E7" s="345">
        <v>1</v>
      </c>
      <c r="F7" s="345">
        <v>1</v>
      </c>
      <c r="G7" s="345">
        <v>0</v>
      </c>
      <c r="H7" s="346"/>
      <c r="I7" s="345">
        <v>1</v>
      </c>
      <c r="J7" s="345">
        <v>1</v>
      </c>
      <c r="K7" s="345">
        <v>0</v>
      </c>
      <c r="L7" s="342">
        <f t="shared" si="0"/>
        <v>0</v>
      </c>
      <c r="M7" s="342">
        <f t="shared" si="1"/>
        <v>0</v>
      </c>
      <c r="N7" s="342" t="e">
        <f t="shared" si="2"/>
        <v>#DIV/0!</v>
      </c>
    </row>
    <row r="8" spans="2:14" ht="15" customHeight="1" x14ac:dyDescent="0.25">
      <c r="B8" s="523" t="s">
        <v>535</v>
      </c>
      <c r="C8" s="523"/>
      <c r="D8" s="347">
        <v>31</v>
      </c>
      <c r="E8" s="345">
        <v>1</v>
      </c>
      <c r="F8" s="345">
        <v>1</v>
      </c>
      <c r="G8" s="345">
        <v>0</v>
      </c>
      <c r="H8" s="346"/>
      <c r="I8" s="345">
        <v>1</v>
      </c>
      <c r="J8" s="345">
        <v>1</v>
      </c>
      <c r="K8" s="345">
        <v>0</v>
      </c>
      <c r="L8" s="342">
        <f t="shared" si="0"/>
        <v>0</v>
      </c>
      <c r="M8" s="342">
        <f t="shared" si="1"/>
        <v>0</v>
      </c>
      <c r="N8" s="342" t="e">
        <f t="shared" si="2"/>
        <v>#DIV/0!</v>
      </c>
    </row>
    <row r="9" spans="2:14" ht="15" customHeight="1" x14ac:dyDescent="0.25">
      <c r="B9" s="523" t="s">
        <v>534</v>
      </c>
      <c r="C9" s="523"/>
      <c r="D9" s="347">
        <v>30</v>
      </c>
      <c r="E9" s="345">
        <v>1</v>
      </c>
      <c r="F9" s="345">
        <v>1</v>
      </c>
      <c r="G9" s="345">
        <v>0</v>
      </c>
      <c r="H9" s="346"/>
      <c r="I9" s="345">
        <v>1</v>
      </c>
      <c r="J9" s="345">
        <v>1</v>
      </c>
      <c r="K9" s="345">
        <v>0</v>
      </c>
      <c r="L9" s="342">
        <f t="shared" si="0"/>
        <v>0</v>
      </c>
      <c r="M9" s="342">
        <f t="shared" si="1"/>
        <v>0</v>
      </c>
      <c r="N9" s="342" t="e">
        <f t="shared" si="2"/>
        <v>#DIV/0!</v>
      </c>
    </row>
    <row r="10" spans="2:14" x14ac:dyDescent="0.25">
      <c r="B10" s="523" t="s">
        <v>533</v>
      </c>
      <c r="C10" s="523"/>
      <c r="D10" s="347">
        <v>31</v>
      </c>
      <c r="E10" s="345">
        <v>1</v>
      </c>
      <c r="F10" s="345">
        <v>1</v>
      </c>
      <c r="G10" s="345">
        <v>0</v>
      </c>
      <c r="H10" s="346"/>
      <c r="I10" s="345">
        <v>1</v>
      </c>
      <c r="J10" s="345">
        <v>1</v>
      </c>
      <c r="K10" s="345">
        <v>0</v>
      </c>
      <c r="L10" s="342">
        <f t="shared" si="0"/>
        <v>0</v>
      </c>
      <c r="M10" s="342">
        <f t="shared" si="1"/>
        <v>0</v>
      </c>
      <c r="N10" s="342" t="e">
        <f t="shared" si="2"/>
        <v>#DIV/0!</v>
      </c>
    </row>
    <row r="11" spans="2:14" ht="15" customHeight="1" x14ac:dyDescent="0.25">
      <c r="B11" s="523" t="s">
        <v>532</v>
      </c>
      <c r="C11" s="523"/>
      <c r="D11" s="347">
        <v>31</v>
      </c>
      <c r="E11" s="345">
        <v>1</v>
      </c>
      <c r="F11" s="345">
        <v>1</v>
      </c>
      <c r="G11" s="345">
        <v>0</v>
      </c>
      <c r="H11" s="346"/>
      <c r="I11" s="345">
        <v>1</v>
      </c>
      <c r="J11" s="345">
        <v>1</v>
      </c>
      <c r="K11" s="345">
        <v>0</v>
      </c>
      <c r="L11" s="342">
        <f t="shared" si="0"/>
        <v>0</v>
      </c>
      <c r="M11" s="342">
        <f t="shared" si="1"/>
        <v>0</v>
      </c>
      <c r="N11" s="342" t="e">
        <f t="shared" si="2"/>
        <v>#DIV/0!</v>
      </c>
    </row>
    <row r="12" spans="2:14" ht="15" customHeight="1" x14ac:dyDescent="0.25">
      <c r="B12" s="523" t="s">
        <v>531</v>
      </c>
      <c r="C12" s="523"/>
      <c r="D12" s="347">
        <v>30</v>
      </c>
      <c r="E12" s="345">
        <v>1</v>
      </c>
      <c r="F12" s="345">
        <v>1</v>
      </c>
      <c r="G12" s="345">
        <v>0</v>
      </c>
      <c r="H12" s="346"/>
      <c r="I12" s="345">
        <v>1</v>
      </c>
      <c r="J12" s="345">
        <v>1</v>
      </c>
      <c r="K12" s="345">
        <v>0</v>
      </c>
      <c r="L12" s="342">
        <f t="shared" si="0"/>
        <v>0</v>
      </c>
      <c r="M12" s="342">
        <f t="shared" si="1"/>
        <v>0</v>
      </c>
      <c r="N12" s="342" t="e">
        <f t="shared" si="2"/>
        <v>#DIV/0!</v>
      </c>
    </row>
    <row r="13" spans="2:14" ht="15" customHeight="1" x14ac:dyDescent="0.25">
      <c r="B13" s="523" t="s">
        <v>530</v>
      </c>
      <c r="C13" s="523"/>
      <c r="D13" s="347">
        <v>31</v>
      </c>
      <c r="E13" s="345">
        <v>1</v>
      </c>
      <c r="F13" s="345">
        <v>1</v>
      </c>
      <c r="G13" s="345">
        <v>0</v>
      </c>
      <c r="H13" s="346"/>
      <c r="I13" s="345">
        <v>1</v>
      </c>
      <c r="J13" s="345">
        <v>1</v>
      </c>
      <c r="K13" s="345">
        <v>0</v>
      </c>
      <c r="L13" s="342">
        <f t="shared" si="0"/>
        <v>0</v>
      </c>
      <c r="M13" s="342">
        <f t="shared" si="1"/>
        <v>0</v>
      </c>
      <c r="N13" s="342" t="e">
        <f t="shared" si="2"/>
        <v>#DIV/0!</v>
      </c>
    </row>
    <row r="14" spans="2:14" ht="15" customHeight="1" x14ac:dyDescent="0.25">
      <c r="B14" s="523" t="s">
        <v>529</v>
      </c>
      <c r="C14" s="523"/>
      <c r="D14" s="347">
        <v>30</v>
      </c>
      <c r="E14" s="345">
        <v>1</v>
      </c>
      <c r="F14" s="345">
        <v>1</v>
      </c>
      <c r="G14" s="345">
        <v>0</v>
      </c>
      <c r="H14" s="346"/>
      <c r="I14" s="345">
        <v>1</v>
      </c>
      <c r="J14" s="345">
        <v>1</v>
      </c>
      <c r="K14" s="345">
        <v>0</v>
      </c>
      <c r="L14" s="342">
        <f t="shared" si="0"/>
        <v>0</v>
      </c>
      <c r="M14" s="342">
        <f t="shared" si="1"/>
        <v>0</v>
      </c>
      <c r="N14" s="342" t="e">
        <f t="shared" si="2"/>
        <v>#DIV/0!</v>
      </c>
    </row>
    <row r="15" spans="2:14" ht="15" customHeight="1" x14ac:dyDescent="0.25">
      <c r="B15" s="523" t="s">
        <v>528</v>
      </c>
      <c r="C15" s="523"/>
      <c r="D15" s="347">
        <v>31</v>
      </c>
      <c r="E15" s="345">
        <v>1</v>
      </c>
      <c r="F15" s="345">
        <v>1</v>
      </c>
      <c r="G15" s="345">
        <v>0</v>
      </c>
      <c r="H15" s="346"/>
      <c r="I15" s="345">
        <v>1</v>
      </c>
      <c r="J15" s="345">
        <v>1</v>
      </c>
      <c r="K15" s="345">
        <v>0</v>
      </c>
      <c r="L15" s="342">
        <f t="shared" si="0"/>
        <v>0</v>
      </c>
      <c r="M15" s="342">
        <f t="shared" si="1"/>
        <v>0</v>
      </c>
      <c r="N15" s="342" t="e">
        <f t="shared" si="2"/>
        <v>#DIV/0!</v>
      </c>
    </row>
    <row r="16" spans="2:14" x14ac:dyDescent="0.25">
      <c r="B16" s="533" t="s">
        <v>553</v>
      </c>
      <c r="C16" s="533"/>
      <c r="D16" s="343">
        <f>SUM(D4:D15)</f>
        <v>365</v>
      </c>
      <c r="E16" s="343">
        <f>SUM(E4:E15)</f>
        <v>12</v>
      </c>
      <c r="F16" s="343">
        <f>SUM(F4:F15)</f>
        <v>12</v>
      </c>
      <c r="G16" s="343">
        <f>SUM(G4:G15)</f>
        <v>0</v>
      </c>
      <c r="H16" s="344"/>
      <c r="I16" s="343">
        <f>SUM(I4:I15)</f>
        <v>12</v>
      </c>
      <c r="J16" s="343">
        <f>SUM(J4:J15)</f>
        <v>12</v>
      </c>
      <c r="K16" s="343">
        <f>SUM(K4:K15)</f>
        <v>0</v>
      </c>
      <c r="L16" s="342">
        <f t="shared" si="0"/>
        <v>0</v>
      </c>
      <c r="M16" s="342">
        <f t="shared" si="1"/>
        <v>0</v>
      </c>
      <c r="N16" s="342" t="e">
        <f t="shared" si="2"/>
        <v>#DIV/0!</v>
      </c>
    </row>
    <row r="34" spans="2:13" x14ac:dyDescent="0.25">
      <c r="B34" s="527" t="s">
        <v>552</v>
      </c>
      <c r="C34" s="528"/>
      <c r="D34" s="528"/>
      <c r="E34" s="528"/>
      <c r="F34" s="529"/>
      <c r="I34" s="527" t="s">
        <v>552</v>
      </c>
      <c r="J34" s="528"/>
      <c r="K34" s="528"/>
      <c r="L34" s="528"/>
      <c r="M34" s="529"/>
    </row>
    <row r="35" spans="2:13" ht="30.75" thickBot="1" x14ac:dyDescent="0.3">
      <c r="B35" s="341" t="s">
        <v>544</v>
      </c>
      <c r="C35" s="339" t="s">
        <v>543</v>
      </c>
      <c r="D35" s="339" t="s">
        <v>593</v>
      </c>
      <c r="E35" s="340" t="s">
        <v>592</v>
      </c>
      <c r="F35" s="339" t="s">
        <v>591</v>
      </c>
      <c r="I35" s="341" t="s">
        <v>544</v>
      </c>
      <c r="J35" s="339" t="s">
        <v>543</v>
      </c>
      <c r="K35" s="339" t="s">
        <v>593</v>
      </c>
      <c r="L35" s="340" t="s">
        <v>592</v>
      </c>
      <c r="M35" s="339" t="s">
        <v>591</v>
      </c>
    </row>
    <row r="36" spans="2:13" ht="15.75" thickTop="1" x14ac:dyDescent="0.25">
      <c r="B36" s="335" t="str">
        <f t="shared" ref="B36:B47" si="3">B4</f>
        <v>Jan</v>
      </c>
      <c r="C36" s="334">
        <f t="shared" ref="C36:C47" si="4">D4</f>
        <v>31</v>
      </c>
      <c r="D36" s="338">
        <f t="shared" ref="D36:D48" si="5">I4-E4</f>
        <v>0</v>
      </c>
      <c r="E36" s="338">
        <f t="shared" ref="E36:E48" si="6">J4-F4</f>
        <v>0</v>
      </c>
      <c r="F36" s="338">
        <f t="shared" ref="F36:F48" si="7">K4-G4</f>
        <v>0</v>
      </c>
      <c r="I36" s="335" t="str">
        <f t="shared" ref="I36:I47" si="8">B4</f>
        <v>Jan</v>
      </c>
      <c r="J36" s="334">
        <f t="shared" ref="J36:J47" si="9">D4</f>
        <v>31</v>
      </c>
      <c r="K36" s="337">
        <f t="shared" ref="K36:K48" si="10">D36/E4</f>
        <v>0</v>
      </c>
      <c r="L36" s="337">
        <f t="shared" ref="L36:L48" si="11">E36/F4</f>
        <v>0</v>
      </c>
      <c r="M36" s="337" t="e">
        <f t="shared" ref="M36:M48" si="12">F36/G4</f>
        <v>#DIV/0!</v>
      </c>
    </row>
    <row r="37" spans="2:13" x14ac:dyDescent="0.25">
      <c r="B37" s="335" t="str">
        <f t="shared" si="3"/>
        <v>Feb</v>
      </c>
      <c r="C37" s="334">
        <f t="shared" si="4"/>
        <v>28</v>
      </c>
      <c r="D37" s="338">
        <f t="shared" si="5"/>
        <v>0</v>
      </c>
      <c r="E37" s="338">
        <f t="shared" si="6"/>
        <v>0</v>
      </c>
      <c r="F37" s="338">
        <f t="shared" si="7"/>
        <v>0</v>
      </c>
      <c r="I37" s="335" t="str">
        <f t="shared" si="8"/>
        <v>Feb</v>
      </c>
      <c r="J37" s="334">
        <f t="shared" si="9"/>
        <v>28</v>
      </c>
      <c r="K37" s="337">
        <f t="shared" si="10"/>
        <v>0</v>
      </c>
      <c r="L37" s="337">
        <f t="shared" si="11"/>
        <v>0</v>
      </c>
      <c r="M37" s="337" t="e">
        <f t="shared" si="12"/>
        <v>#DIV/0!</v>
      </c>
    </row>
    <row r="38" spans="2:13" x14ac:dyDescent="0.25">
      <c r="B38" s="335" t="str">
        <f t="shared" si="3"/>
        <v>Mar</v>
      </c>
      <c r="C38" s="334">
        <f t="shared" si="4"/>
        <v>31</v>
      </c>
      <c r="D38" s="338">
        <f t="shared" si="5"/>
        <v>0</v>
      </c>
      <c r="E38" s="338">
        <f t="shared" si="6"/>
        <v>0</v>
      </c>
      <c r="F38" s="338">
        <f t="shared" si="7"/>
        <v>0</v>
      </c>
      <c r="I38" s="335" t="str">
        <f t="shared" si="8"/>
        <v>Mar</v>
      </c>
      <c r="J38" s="334">
        <f t="shared" si="9"/>
        <v>31</v>
      </c>
      <c r="K38" s="337">
        <f t="shared" si="10"/>
        <v>0</v>
      </c>
      <c r="L38" s="337">
        <f t="shared" si="11"/>
        <v>0</v>
      </c>
      <c r="M38" s="337" t="e">
        <f t="shared" si="12"/>
        <v>#DIV/0!</v>
      </c>
    </row>
    <row r="39" spans="2:13" x14ac:dyDescent="0.25">
      <c r="B39" s="335" t="str">
        <f t="shared" si="3"/>
        <v>Apr</v>
      </c>
      <c r="C39" s="334">
        <f t="shared" si="4"/>
        <v>30</v>
      </c>
      <c r="D39" s="338">
        <f t="shared" si="5"/>
        <v>0</v>
      </c>
      <c r="E39" s="338">
        <f t="shared" si="6"/>
        <v>0</v>
      </c>
      <c r="F39" s="338">
        <f t="shared" si="7"/>
        <v>0</v>
      </c>
      <c r="I39" s="335" t="str">
        <f t="shared" si="8"/>
        <v>Apr</v>
      </c>
      <c r="J39" s="334">
        <f t="shared" si="9"/>
        <v>30</v>
      </c>
      <c r="K39" s="337">
        <f t="shared" si="10"/>
        <v>0</v>
      </c>
      <c r="L39" s="337">
        <f t="shared" si="11"/>
        <v>0</v>
      </c>
      <c r="M39" s="337" t="e">
        <f t="shared" si="12"/>
        <v>#DIV/0!</v>
      </c>
    </row>
    <row r="40" spans="2:13" x14ac:dyDescent="0.25">
      <c r="B40" s="335" t="str">
        <f t="shared" si="3"/>
        <v>May</v>
      </c>
      <c r="C40" s="334">
        <f t="shared" si="4"/>
        <v>31</v>
      </c>
      <c r="D40" s="338">
        <f t="shared" si="5"/>
        <v>0</v>
      </c>
      <c r="E40" s="338">
        <f t="shared" si="6"/>
        <v>0</v>
      </c>
      <c r="F40" s="338">
        <f t="shared" si="7"/>
        <v>0</v>
      </c>
      <c r="I40" s="335" t="str">
        <f t="shared" si="8"/>
        <v>May</v>
      </c>
      <c r="J40" s="334">
        <f t="shared" si="9"/>
        <v>31</v>
      </c>
      <c r="K40" s="337">
        <f t="shared" si="10"/>
        <v>0</v>
      </c>
      <c r="L40" s="337">
        <f t="shared" si="11"/>
        <v>0</v>
      </c>
      <c r="M40" s="337" t="e">
        <f t="shared" si="12"/>
        <v>#DIV/0!</v>
      </c>
    </row>
    <row r="41" spans="2:13" x14ac:dyDescent="0.25">
      <c r="B41" s="335" t="str">
        <f t="shared" si="3"/>
        <v>Jun</v>
      </c>
      <c r="C41" s="334">
        <f t="shared" si="4"/>
        <v>30</v>
      </c>
      <c r="D41" s="338">
        <f t="shared" si="5"/>
        <v>0</v>
      </c>
      <c r="E41" s="338">
        <f t="shared" si="6"/>
        <v>0</v>
      </c>
      <c r="F41" s="338">
        <f t="shared" si="7"/>
        <v>0</v>
      </c>
      <c r="I41" s="335" t="str">
        <f t="shared" si="8"/>
        <v>Jun</v>
      </c>
      <c r="J41" s="334">
        <f t="shared" si="9"/>
        <v>30</v>
      </c>
      <c r="K41" s="337">
        <f t="shared" si="10"/>
        <v>0</v>
      </c>
      <c r="L41" s="337">
        <f t="shared" si="11"/>
        <v>0</v>
      </c>
      <c r="M41" s="337" t="e">
        <f t="shared" si="12"/>
        <v>#DIV/0!</v>
      </c>
    </row>
    <row r="42" spans="2:13" x14ac:dyDescent="0.25">
      <c r="B42" s="335" t="str">
        <f t="shared" si="3"/>
        <v>Jul</v>
      </c>
      <c r="C42" s="334">
        <f t="shared" si="4"/>
        <v>31</v>
      </c>
      <c r="D42" s="338">
        <f t="shared" si="5"/>
        <v>0</v>
      </c>
      <c r="E42" s="338">
        <f t="shared" si="6"/>
        <v>0</v>
      </c>
      <c r="F42" s="338">
        <f t="shared" si="7"/>
        <v>0</v>
      </c>
      <c r="I42" s="335" t="str">
        <f t="shared" si="8"/>
        <v>Jul</v>
      </c>
      <c r="J42" s="334">
        <f t="shared" si="9"/>
        <v>31</v>
      </c>
      <c r="K42" s="337">
        <f t="shared" si="10"/>
        <v>0</v>
      </c>
      <c r="L42" s="337">
        <f t="shared" si="11"/>
        <v>0</v>
      </c>
      <c r="M42" s="337" t="e">
        <f t="shared" si="12"/>
        <v>#DIV/0!</v>
      </c>
    </row>
    <row r="43" spans="2:13" x14ac:dyDescent="0.25">
      <c r="B43" s="335" t="str">
        <f t="shared" si="3"/>
        <v>Aug</v>
      </c>
      <c r="C43" s="334">
        <f t="shared" si="4"/>
        <v>31</v>
      </c>
      <c r="D43" s="338">
        <f t="shared" si="5"/>
        <v>0</v>
      </c>
      <c r="E43" s="338">
        <f t="shared" si="6"/>
        <v>0</v>
      </c>
      <c r="F43" s="338">
        <f t="shared" si="7"/>
        <v>0</v>
      </c>
      <c r="I43" s="335" t="str">
        <f t="shared" si="8"/>
        <v>Aug</v>
      </c>
      <c r="J43" s="334">
        <f t="shared" si="9"/>
        <v>31</v>
      </c>
      <c r="K43" s="337">
        <f t="shared" si="10"/>
        <v>0</v>
      </c>
      <c r="L43" s="337">
        <f t="shared" si="11"/>
        <v>0</v>
      </c>
      <c r="M43" s="337" t="e">
        <f t="shared" si="12"/>
        <v>#DIV/0!</v>
      </c>
    </row>
    <row r="44" spans="2:13" x14ac:dyDescent="0.25">
      <c r="B44" s="335" t="str">
        <f t="shared" si="3"/>
        <v>Sep</v>
      </c>
      <c r="C44" s="334">
        <f t="shared" si="4"/>
        <v>30</v>
      </c>
      <c r="D44" s="338">
        <f t="shared" si="5"/>
        <v>0</v>
      </c>
      <c r="E44" s="338">
        <f t="shared" si="6"/>
        <v>0</v>
      </c>
      <c r="F44" s="338">
        <f t="shared" si="7"/>
        <v>0</v>
      </c>
      <c r="I44" s="335" t="str">
        <f t="shared" si="8"/>
        <v>Sep</v>
      </c>
      <c r="J44" s="334">
        <f t="shared" si="9"/>
        <v>30</v>
      </c>
      <c r="K44" s="337">
        <f t="shared" si="10"/>
        <v>0</v>
      </c>
      <c r="L44" s="337">
        <f t="shared" si="11"/>
        <v>0</v>
      </c>
      <c r="M44" s="337" t="e">
        <f t="shared" si="12"/>
        <v>#DIV/0!</v>
      </c>
    </row>
    <row r="45" spans="2:13" x14ac:dyDescent="0.25">
      <c r="B45" s="335" t="str">
        <f t="shared" si="3"/>
        <v>Oct</v>
      </c>
      <c r="C45" s="334">
        <f t="shared" si="4"/>
        <v>31</v>
      </c>
      <c r="D45" s="338">
        <f t="shared" si="5"/>
        <v>0</v>
      </c>
      <c r="E45" s="338">
        <f t="shared" si="6"/>
        <v>0</v>
      </c>
      <c r="F45" s="338">
        <f t="shared" si="7"/>
        <v>0</v>
      </c>
      <c r="I45" s="335" t="str">
        <f t="shared" si="8"/>
        <v>Oct</v>
      </c>
      <c r="J45" s="334">
        <f t="shared" si="9"/>
        <v>31</v>
      </c>
      <c r="K45" s="337">
        <f t="shared" si="10"/>
        <v>0</v>
      </c>
      <c r="L45" s="337">
        <f t="shared" si="11"/>
        <v>0</v>
      </c>
      <c r="M45" s="337" t="e">
        <f t="shared" si="12"/>
        <v>#DIV/0!</v>
      </c>
    </row>
    <row r="46" spans="2:13" x14ac:dyDescent="0.25">
      <c r="B46" s="335" t="str">
        <f t="shared" si="3"/>
        <v>Nov</v>
      </c>
      <c r="C46" s="334">
        <f t="shared" si="4"/>
        <v>30</v>
      </c>
      <c r="D46" s="338">
        <f t="shared" si="5"/>
        <v>0</v>
      </c>
      <c r="E46" s="338">
        <f t="shared" si="6"/>
        <v>0</v>
      </c>
      <c r="F46" s="338">
        <f t="shared" si="7"/>
        <v>0</v>
      </c>
      <c r="I46" s="335" t="str">
        <f t="shared" si="8"/>
        <v>Nov</v>
      </c>
      <c r="J46" s="334">
        <f t="shared" si="9"/>
        <v>30</v>
      </c>
      <c r="K46" s="337">
        <f t="shared" si="10"/>
        <v>0</v>
      </c>
      <c r="L46" s="337">
        <f t="shared" si="11"/>
        <v>0</v>
      </c>
      <c r="M46" s="337" t="e">
        <f t="shared" si="12"/>
        <v>#DIV/0!</v>
      </c>
    </row>
    <row r="47" spans="2:13" ht="15.75" thickBot="1" x14ac:dyDescent="0.3">
      <c r="B47" s="335" t="str">
        <f t="shared" si="3"/>
        <v>Dec</v>
      </c>
      <c r="C47" s="334">
        <f t="shared" si="4"/>
        <v>31</v>
      </c>
      <c r="D47" s="336">
        <f t="shared" si="5"/>
        <v>0</v>
      </c>
      <c r="E47" s="336">
        <f t="shared" si="6"/>
        <v>0</v>
      </c>
      <c r="F47" s="336">
        <f t="shared" si="7"/>
        <v>0</v>
      </c>
      <c r="I47" s="335" t="str">
        <f t="shared" si="8"/>
        <v>Dec</v>
      </c>
      <c r="J47" s="334">
        <f t="shared" si="9"/>
        <v>31</v>
      </c>
      <c r="K47" s="333">
        <f t="shared" si="10"/>
        <v>0</v>
      </c>
      <c r="L47" s="333">
        <f t="shared" si="11"/>
        <v>0</v>
      </c>
      <c r="M47" s="333" t="e">
        <f t="shared" si="12"/>
        <v>#DIV/0!</v>
      </c>
    </row>
    <row r="48" spans="2:13" ht="15.75" thickTop="1" x14ac:dyDescent="0.25">
      <c r="B48" s="332"/>
      <c r="C48" s="331">
        <f>SUM(C36:C47)</f>
        <v>365</v>
      </c>
      <c r="D48" s="322">
        <f t="shared" si="5"/>
        <v>0</v>
      </c>
      <c r="E48" s="322">
        <f t="shared" si="6"/>
        <v>0</v>
      </c>
      <c r="F48" s="322">
        <f t="shared" si="7"/>
        <v>0</v>
      </c>
      <c r="I48" s="332"/>
      <c r="J48" s="331">
        <f>SUM(J36:J47)</f>
        <v>365</v>
      </c>
      <c r="K48" s="330">
        <f t="shared" si="10"/>
        <v>0</v>
      </c>
      <c r="L48" s="330">
        <f t="shared" si="11"/>
        <v>0</v>
      </c>
      <c r="M48" s="330" t="e">
        <f t="shared" si="12"/>
        <v>#DIV/0!</v>
      </c>
    </row>
    <row r="49" spans="2:13" ht="15.75" thickBot="1" x14ac:dyDescent="0.3"/>
    <row r="50" spans="2:13" ht="15.75" thickBot="1" x14ac:dyDescent="0.3">
      <c r="B50" s="530" t="s">
        <v>548</v>
      </c>
      <c r="C50" s="531"/>
      <c r="D50" s="531"/>
      <c r="E50" s="531"/>
      <c r="F50" s="532"/>
      <c r="I50" s="530" t="s">
        <v>607</v>
      </c>
      <c r="J50" s="531"/>
      <c r="K50" s="531"/>
      <c r="L50" s="531"/>
      <c r="M50" s="532"/>
    </row>
    <row r="51" spans="2:13" ht="30.75" thickBot="1" x14ac:dyDescent="0.3">
      <c r="B51" s="329" t="s">
        <v>544</v>
      </c>
      <c r="C51" s="328" t="s">
        <v>543</v>
      </c>
      <c r="D51" s="328" t="s">
        <v>565</v>
      </c>
      <c r="E51" s="328" t="s">
        <v>564</v>
      </c>
      <c r="F51" s="327" t="s">
        <v>545</v>
      </c>
      <c r="I51" s="329" t="s">
        <v>544</v>
      </c>
      <c r="J51" s="328" t="s">
        <v>543</v>
      </c>
      <c r="K51" s="328" t="s">
        <v>563</v>
      </c>
      <c r="L51" s="328" t="s">
        <v>562</v>
      </c>
      <c r="M51" s="327" t="s">
        <v>540</v>
      </c>
    </row>
    <row r="52" spans="2:13" x14ac:dyDescent="0.25">
      <c r="B52" s="324" t="s">
        <v>539</v>
      </c>
      <c r="C52" s="323">
        <f t="shared" ref="C52:C63" si="13">C36</f>
        <v>31</v>
      </c>
      <c r="D52" s="322">
        <f t="shared" ref="D52:D63" si="14">(E4-I4)^2</f>
        <v>0</v>
      </c>
      <c r="E52" s="322">
        <f t="shared" ref="E52:E63" si="15">(F4-J4)^2</f>
        <v>0</v>
      </c>
      <c r="F52" s="322">
        <f t="shared" ref="F52:F63" si="16">(G4-K4)^2</f>
        <v>0</v>
      </c>
      <c r="I52" s="324" t="str">
        <f t="shared" ref="I52:J63" si="17">I36</f>
        <v>Jan</v>
      </c>
      <c r="J52" s="323">
        <f t="shared" si="17"/>
        <v>31</v>
      </c>
      <c r="K52" s="322">
        <f t="shared" ref="K52:K63" si="18">I4-E4</f>
        <v>0</v>
      </c>
      <c r="L52" s="322">
        <f t="shared" ref="L52:L63" si="19">J4-F4</f>
        <v>0</v>
      </c>
      <c r="M52" s="322">
        <f t="shared" ref="M52:M63" si="20">K4-G4</f>
        <v>0</v>
      </c>
    </row>
    <row r="53" spans="2:13" x14ac:dyDescent="0.25">
      <c r="B53" s="326" t="s">
        <v>538</v>
      </c>
      <c r="C53" s="323">
        <f t="shared" si="13"/>
        <v>28</v>
      </c>
      <c r="D53" s="322">
        <f t="shared" si="14"/>
        <v>0</v>
      </c>
      <c r="E53" s="322">
        <f t="shared" si="15"/>
        <v>0</v>
      </c>
      <c r="F53" s="322">
        <f t="shared" si="16"/>
        <v>0</v>
      </c>
      <c r="I53" s="324" t="str">
        <f t="shared" si="17"/>
        <v>Feb</v>
      </c>
      <c r="J53" s="323">
        <f t="shared" si="17"/>
        <v>28</v>
      </c>
      <c r="K53" s="322">
        <f t="shared" si="18"/>
        <v>0</v>
      </c>
      <c r="L53" s="322">
        <f t="shared" si="19"/>
        <v>0</v>
      </c>
      <c r="M53" s="322">
        <f t="shared" si="20"/>
        <v>0</v>
      </c>
    </row>
    <row r="54" spans="2:13" x14ac:dyDescent="0.25">
      <c r="B54" s="326" t="s">
        <v>537</v>
      </c>
      <c r="C54" s="323">
        <f t="shared" si="13"/>
        <v>31</v>
      </c>
      <c r="D54" s="322">
        <f t="shared" si="14"/>
        <v>0</v>
      </c>
      <c r="E54" s="322">
        <f t="shared" si="15"/>
        <v>0</v>
      </c>
      <c r="F54" s="322">
        <f t="shared" si="16"/>
        <v>0</v>
      </c>
      <c r="I54" s="324" t="str">
        <f t="shared" si="17"/>
        <v>Mar</v>
      </c>
      <c r="J54" s="323">
        <f t="shared" si="17"/>
        <v>31</v>
      </c>
      <c r="K54" s="322">
        <f t="shared" si="18"/>
        <v>0</v>
      </c>
      <c r="L54" s="322">
        <f t="shared" si="19"/>
        <v>0</v>
      </c>
      <c r="M54" s="322">
        <f t="shared" si="20"/>
        <v>0</v>
      </c>
    </row>
    <row r="55" spans="2:13" x14ac:dyDescent="0.25">
      <c r="B55" s="326" t="s">
        <v>536</v>
      </c>
      <c r="C55" s="323">
        <f t="shared" si="13"/>
        <v>30</v>
      </c>
      <c r="D55" s="322">
        <f t="shared" si="14"/>
        <v>0</v>
      </c>
      <c r="E55" s="322">
        <f t="shared" si="15"/>
        <v>0</v>
      </c>
      <c r="F55" s="322">
        <f t="shared" si="16"/>
        <v>0</v>
      </c>
      <c r="I55" s="324" t="str">
        <f t="shared" si="17"/>
        <v>Apr</v>
      </c>
      <c r="J55" s="323">
        <f t="shared" si="17"/>
        <v>30</v>
      </c>
      <c r="K55" s="322">
        <f t="shared" si="18"/>
        <v>0</v>
      </c>
      <c r="L55" s="322">
        <f t="shared" si="19"/>
        <v>0</v>
      </c>
      <c r="M55" s="322">
        <f t="shared" si="20"/>
        <v>0</v>
      </c>
    </row>
    <row r="56" spans="2:13" x14ac:dyDescent="0.25">
      <c r="B56" s="326" t="s">
        <v>535</v>
      </c>
      <c r="C56" s="323">
        <f t="shared" si="13"/>
        <v>31</v>
      </c>
      <c r="D56" s="322">
        <f t="shared" si="14"/>
        <v>0</v>
      </c>
      <c r="E56" s="322">
        <f t="shared" si="15"/>
        <v>0</v>
      </c>
      <c r="F56" s="322">
        <f t="shared" si="16"/>
        <v>0</v>
      </c>
      <c r="I56" s="324" t="str">
        <f t="shared" si="17"/>
        <v>May</v>
      </c>
      <c r="J56" s="323">
        <f t="shared" si="17"/>
        <v>31</v>
      </c>
      <c r="K56" s="322">
        <f t="shared" si="18"/>
        <v>0</v>
      </c>
      <c r="L56" s="322">
        <f t="shared" si="19"/>
        <v>0</v>
      </c>
      <c r="M56" s="322">
        <f t="shared" si="20"/>
        <v>0</v>
      </c>
    </row>
    <row r="57" spans="2:13" x14ac:dyDescent="0.25">
      <c r="B57" s="326" t="s">
        <v>534</v>
      </c>
      <c r="C57" s="323">
        <f t="shared" si="13"/>
        <v>30</v>
      </c>
      <c r="D57" s="322">
        <f t="shared" si="14"/>
        <v>0</v>
      </c>
      <c r="E57" s="322">
        <f t="shared" si="15"/>
        <v>0</v>
      </c>
      <c r="F57" s="322">
        <f t="shared" si="16"/>
        <v>0</v>
      </c>
      <c r="I57" s="324" t="str">
        <f t="shared" si="17"/>
        <v>Jun</v>
      </c>
      <c r="J57" s="323">
        <f t="shared" si="17"/>
        <v>30</v>
      </c>
      <c r="K57" s="322">
        <f t="shared" si="18"/>
        <v>0</v>
      </c>
      <c r="L57" s="322">
        <f t="shared" si="19"/>
        <v>0</v>
      </c>
      <c r="M57" s="322">
        <f t="shared" si="20"/>
        <v>0</v>
      </c>
    </row>
    <row r="58" spans="2:13" x14ac:dyDescent="0.25">
      <c r="B58" s="326" t="s">
        <v>533</v>
      </c>
      <c r="C58" s="323">
        <f t="shared" si="13"/>
        <v>31</v>
      </c>
      <c r="D58" s="322">
        <f t="shared" si="14"/>
        <v>0</v>
      </c>
      <c r="E58" s="322">
        <f t="shared" si="15"/>
        <v>0</v>
      </c>
      <c r="F58" s="322">
        <f t="shared" si="16"/>
        <v>0</v>
      </c>
      <c r="I58" s="324" t="str">
        <f t="shared" si="17"/>
        <v>Jul</v>
      </c>
      <c r="J58" s="323">
        <f t="shared" si="17"/>
        <v>31</v>
      </c>
      <c r="K58" s="322">
        <f t="shared" si="18"/>
        <v>0</v>
      </c>
      <c r="L58" s="322">
        <f t="shared" si="19"/>
        <v>0</v>
      </c>
      <c r="M58" s="322">
        <f t="shared" si="20"/>
        <v>0</v>
      </c>
    </row>
    <row r="59" spans="2:13" x14ac:dyDescent="0.25">
      <c r="B59" s="326" t="s">
        <v>532</v>
      </c>
      <c r="C59" s="323">
        <f t="shared" si="13"/>
        <v>31</v>
      </c>
      <c r="D59" s="322">
        <f t="shared" si="14"/>
        <v>0</v>
      </c>
      <c r="E59" s="322">
        <f t="shared" si="15"/>
        <v>0</v>
      </c>
      <c r="F59" s="322">
        <f t="shared" si="16"/>
        <v>0</v>
      </c>
      <c r="I59" s="324" t="str">
        <f t="shared" si="17"/>
        <v>Aug</v>
      </c>
      <c r="J59" s="323">
        <f t="shared" si="17"/>
        <v>31</v>
      </c>
      <c r="K59" s="322">
        <f t="shared" si="18"/>
        <v>0</v>
      </c>
      <c r="L59" s="322">
        <f t="shared" si="19"/>
        <v>0</v>
      </c>
      <c r="M59" s="322">
        <f t="shared" si="20"/>
        <v>0</v>
      </c>
    </row>
    <row r="60" spans="2:13" x14ac:dyDescent="0.25">
      <c r="B60" s="326" t="s">
        <v>531</v>
      </c>
      <c r="C60" s="323">
        <f t="shared" si="13"/>
        <v>30</v>
      </c>
      <c r="D60" s="322">
        <f t="shared" si="14"/>
        <v>0</v>
      </c>
      <c r="E60" s="322">
        <f t="shared" si="15"/>
        <v>0</v>
      </c>
      <c r="F60" s="322">
        <f t="shared" si="16"/>
        <v>0</v>
      </c>
      <c r="I60" s="324" t="str">
        <f t="shared" si="17"/>
        <v>Sep</v>
      </c>
      <c r="J60" s="323">
        <f t="shared" si="17"/>
        <v>30</v>
      </c>
      <c r="K60" s="322">
        <f t="shared" si="18"/>
        <v>0</v>
      </c>
      <c r="L60" s="322">
        <f t="shared" si="19"/>
        <v>0</v>
      </c>
      <c r="M60" s="322">
        <f t="shared" si="20"/>
        <v>0</v>
      </c>
    </row>
    <row r="61" spans="2:13" x14ac:dyDescent="0.25">
      <c r="B61" s="326" t="s">
        <v>530</v>
      </c>
      <c r="C61" s="323">
        <f t="shared" si="13"/>
        <v>31</v>
      </c>
      <c r="D61" s="322">
        <f t="shared" si="14"/>
        <v>0</v>
      </c>
      <c r="E61" s="322">
        <f t="shared" si="15"/>
        <v>0</v>
      </c>
      <c r="F61" s="322">
        <f t="shared" si="16"/>
        <v>0</v>
      </c>
      <c r="I61" s="324" t="str">
        <f t="shared" si="17"/>
        <v>Oct</v>
      </c>
      <c r="J61" s="323">
        <f t="shared" si="17"/>
        <v>31</v>
      </c>
      <c r="K61" s="322">
        <f t="shared" si="18"/>
        <v>0</v>
      </c>
      <c r="L61" s="322">
        <f t="shared" si="19"/>
        <v>0</v>
      </c>
      <c r="M61" s="322">
        <f t="shared" si="20"/>
        <v>0</v>
      </c>
    </row>
    <row r="62" spans="2:13" x14ac:dyDescent="0.25">
      <c r="B62" s="326" t="s">
        <v>529</v>
      </c>
      <c r="C62" s="323">
        <f t="shared" si="13"/>
        <v>30</v>
      </c>
      <c r="D62" s="322">
        <f t="shared" si="14"/>
        <v>0</v>
      </c>
      <c r="E62" s="322">
        <f t="shared" si="15"/>
        <v>0</v>
      </c>
      <c r="F62" s="322">
        <f t="shared" si="16"/>
        <v>0</v>
      </c>
      <c r="I62" s="324" t="str">
        <f t="shared" si="17"/>
        <v>Nov</v>
      </c>
      <c r="J62" s="323">
        <f t="shared" si="17"/>
        <v>30</v>
      </c>
      <c r="K62" s="322">
        <f t="shared" si="18"/>
        <v>0</v>
      </c>
      <c r="L62" s="322">
        <f t="shared" si="19"/>
        <v>0</v>
      </c>
      <c r="M62" s="322">
        <f t="shared" si="20"/>
        <v>0</v>
      </c>
    </row>
    <row r="63" spans="2:13" ht="15.75" thickBot="1" x14ac:dyDescent="0.3">
      <c r="B63" s="325" t="s">
        <v>528</v>
      </c>
      <c r="C63" s="323">
        <f t="shared" si="13"/>
        <v>31</v>
      </c>
      <c r="D63" s="322">
        <f t="shared" si="14"/>
        <v>0</v>
      </c>
      <c r="E63" s="322">
        <f t="shared" si="15"/>
        <v>0</v>
      </c>
      <c r="F63" s="322">
        <f t="shared" si="16"/>
        <v>0</v>
      </c>
      <c r="I63" s="324" t="str">
        <f t="shared" si="17"/>
        <v>Dec</v>
      </c>
      <c r="J63" s="323">
        <f t="shared" si="17"/>
        <v>31</v>
      </c>
      <c r="K63" s="322">
        <f t="shared" si="18"/>
        <v>0</v>
      </c>
      <c r="L63" s="322">
        <f t="shared" si="19"/>
        <v>0</v>
      </c>
      <c r="M63" s="322">
        <f t="shared" si="20"/>
        <v>0</v>
      </c>
    </row>
    <row r="64" spans="2:13" ht="15.75" thickBot="1" x14ac:dyDescent="0.3">
      <c r="B64" s="321" t="s">
        <v>521</v>
      </c>
      <c r="C64" s="320"/>
      <c r="D64" s="319">
        <f>SQRT(SUM(D52:D63)/(12-1))/AVERAGE(E4:E15)</f>
        <v>0</v>
      </c>
      <c r="E64" s="319">
        <f>SQRT(SUM(E52:E63)/(12-1))/AVERAGE(F4:F15)</f>
        <v>0</v>
      </c>
      <c r="F64" s="319" t="e">
        <f>SQRT(SUM(F52:F63)/(12-1))/AVERAGE(G4:G15)</f>
        <v>#DIV/0!</v>
      </c>
      <c r="I64" s="321" t="s">
        <v>522</v>
      </c>
      <c r="J64" s="320"/>
      <c r="K64" s="319">
        <f>SUM(K52:K63)/((12-1)*AVERAGE(E4:E15))</f>
        <v>0</v>
      </c>
      <c r="L64" s="319">
        <f>SUM(L52:L63)/((12-1)*AVERAGE(F4:F15))</f>
        <v>0</v>
      </c>
      <c r="M64" s="319" t="e">
        <f>SUM(M52:M63)/((12-1)*AVERAGE(G4:G15))</f>
        <v>#DIV/0!</v>
      </c>
    </row>
  </sheetData>
  <mergeCells count="21">
    <mergeCell ref="B10:C10"/>
    <mergeCell ref="B11:C11"/>
    <mergeCell ref="I34:M34"/>
    <mergeCell ref="B50:F50"/>
    <mergeCell ref="I50:M50"/>
    <mergeCell ref="B12:C12"/>
    <mergeCell ref="B13:C13"/>
    <mergeCell ref="B14:C14"/>
    <mergeCell ref="B15:C15"/>
    <mergeCell ref="B16:C16"/>
    <mergeCell ref="B34:F34"/>
    <mergeCell ref="B5:C5"/>
    <mergeCell ref="B6:C6"/>
    <mergeCell ref="B7:C7"/>
    <mergeCell ref="B8:C8"/>
    <mergeCell ref="B9:C9"/>
    <mergeCell ref="B2:C2"/>
    <mergeCell ref="E2:G2"/>
    <mergeCell ref="I2:K2"/>
    <mergeCell ref="B3:C3"/>
    <mergeCell ref="B4:C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EC34C-C727-4198-A3CB-6A970C5C589F}">
  <sheetPr codeName="Sheet3"/>
  <dimension ref="A1:Q44"/>
  <sheetViews>
    <sheetView zoomScaleNormal="100" workbookViewId="0">
      <selection activeCell="N31" sqref="N31"/>
    </sheetView>
  </sheetViews>
  <sheetFormatPr defaultRowHeight="15" x14ac:dyDescent="0.25"/>
  <cols>
    <col min="1" max="1" width="19.5703125" bestFit="1" customWidth="1"/>
    <col min="2" max="2" width="14.85546875" customWidth="1"/>
    <col min="3" max="3" width="10.85546875" customWidth="1"/>
    <col min="4" max="4" width="12.5703125" customWidth="1"/>
    <col min="5" max="5" width="12.7109375" customWidth="1"/>
    <col min="6" max="6" width="12.140625" customWidth="1"/>
    <col min="7" max="7" width="14.140625" customWidth="1"/>
  </cols>
  <sheetData>
    <row r="1" spans="1:9" ht="18" thickBot="1" x14ac:dyDescent="0.35">
      <c r="A1" s="8" t="s">
        <v>16</v>
      </c>
      <c r="B1" s="8"/>
      <c r="C1" s="8"/>
      <c r="D1" s="8"/>
      <c r="E1" s="8"/>
    </row>
    <row r="2" spans="1:9" ht="15.75" thickTop="1" x14ac:dyDescent="0.25"/>
    <row r="3" spans="1:9" x14ac:dyDescent="0.25">
      <c r="A3" s="5" t="s">
        <v>26</v>
      </c>
      <c r="B3" s="3">
        <f>50*100</f>
        <v>5000</v>
      </c>
      <c r="C3" s="5" t="s">
        <v>21</v>
      </c>
    </row>
    <row r="4" spans="1:9" ht="30" x14ac:dyDescent="0.25">
      <c r="A4" s="5" t="s">
        <v>27</v>
      </c>
      <c r="B4" s="3">
        <v>300</v>
      </c>
      <c r="C4" s="5" t="s">
        <v>22</v>
      </c>
    </row>
    <row r="5" spans="1:9" x14ac:dyDescent="0.25">
      <c r="A5" s="5" t="s">
        <v>28</v>
      </c>
      <c r="B5" s="3">
        <f>50*100</f>
        <v>5000</v>
      </c>
      <c r="C5" s="5" t="s">
        <v>21</v>
      </c>
    </row>
    <row r="6" spans="1:9" ht="30" x14ac:dyDescent="0.25">
      <c r="A6" s="5" t="s">
        <v>29</v>
      </c>
      <c r="B6" s="3">
        <v>300</v>
      </c>
      <c r="C6" s="5" t="s">
        <v>22</v>
      </c>
    </row>
    <row r="8" spans="1:9" ht="41.25" customHeight="1" x14ac:dyDescent="0.25">
      <c r="A8" s="5" t="s">
        <v>9</v>
      </c>
      <c r="B8" s="5" t="s">
        <v>17</v>
      </c>
      <c r="C8" s="5" t="s">
        <v>19</v>
      </c>
      <c r="D8" s="5" t="s">
        <v>20</v>
      </c>
      <c r="E8" s="5" t="s">
        <v>18</v>
      </c>
      <c r="F8" s="5" t="s">
        <v>23</v>
      </c>
      <c r="G8" s="5"/>
      <c r="H8" s="5"/>
      <c r="I8" s="5"/>
    </row>
    <row r="9" spans="1:9" x14ac:dyDescent="0.25">
      <c r="A9" s="6" t="s">
        <v>10</v>
      </c>
      <c r="B9" s="4">
        <f>1/E9-1.4</f>
        <v>54.155555555555559</v>
      </c>
      <c r="C9" s="5">
        <v>0.3</v>
      </c>
      <c r="D9" s="5">
        <f>C9*$B$4</f>
        <v>90</v>
      </c>
      <c r="E9" s="7">
        <f>IFERROR(D9/B$3,"NA")</f>
        <v>1.7999999999999999E-2</v>
      </c>
      <c r="F9" s="9" t="s">
        <v>24</v>
      </c>
      <c r="G9" s="5"/>
      <c r="H9" s="5"/>
      <c r="I9" s="5"/>
    </row>
    <row r="10" spans="1:9" x14ac:dyDescent="0.25">
      <c r="A10" s="6" t="s">
        <v>11</v>
      </c>
      <c r="B10" s="4">
        <f>IFERROR(1/E10-1.4, "NA- use default")</f>
        <v>30.651282051282053</v>
      </c>
      <c r="C10" s="5">
        <v>0.52</v>
      </c>
      <c r="D10" s="5">
        <f t="shared" ref="D10:D14" si="0">C10*$B$4</f>
        <v>156</v>
      </c>
      <c r="E10" s="7">
        <f>IFERROR(D10/B$3,"NA")</f>
        <v>3.1199999999999999E-2</v>
      </c>
      <c r="F10" s="9" t="s">
        <v>25</v>
      </c>
      <c r="G10" s="5"/>
      <c r="H10" s="5"/>
      <c r="I10" s="5"/>
    </row>
    <row r="11" spans="1:9" x14ac:dyDescent="0.25">
      <c r="A11" s="6" t="s">
        <v>12</v>
      </c>
      <c r="B11" s="4">
        <f>IFERROR(1/E11-1.4, "NA- use default")</f>
        <v>21.431050228310504</v>
      </c>
      <c r="C11" s="5">
        <v>0.73</v>
      </c>
      <c r="D11" s="5">
        <f t="shared" si="0"/>
        <v>219</v>
      </c>
      <c r="E11" s="7">
        <f>IFERROR(D11/B$3,"NA")</f>
        <v>4.3799999999999999E-2</v>
      </c>
      <c r="F11" s="9" t="s">
        <v>32</v>
      </c>
      <c r="G11" s="5"/>
      <c r="H11" s="5"/>
      <c r="I11" s="5"/>
    </row>
    <row r="12" spans="1:9" x14ac:dyDescent="0.25">
      <c r="A12" s="6" t="s">
        <v>13</v>
      </c>
      <c r="B12" s="4">
        <f>IFERROR(1/E12-1.4, "NA- use default")</f>
        <v>36.478787878787884</v>
      </c>
      <c r="C12" s="5">
        <v>0.44</v>
      </c>
      <c r="D12" s="5">
        <f>C12*$B$6</f>
        <v>132</v>
      </c>
      <c r="E12" s="7">
        <f>IFERROR(D12/B$5, "NA")</f>
        <v>2.64E-2</v>
      </c>
      <c r="F12" s="9" t="s">
        <v>31</v>
      </c>
      <c r="G12" s="5"/>
      <c r="H12" s="5"/>
      <c r="I12" s="5"/>
    </row>
    <row r="13" spans="1:9" x14ac:dyDescent="0.25">
      <c r="A13" s="6" t="s">
        <v>14</v>
      </c>
      <c r="B13" s="4">
        <f>IFERROR(1/E13-1.4, "NA- use default")</f>
        <v>25.055026455026457</v>
      </c>
      <c r="C13" s="5">
        <v>0.63</v>
      </c>
      <c r="D13" s="5">
        <f t="shared" si="0"/>
        <v>189</v>
      </c>
      <c r="E13" s="7">
        <f>IFERROR(D13/B$5, "NA")</f>
        <v>3.78E-2</v>
      </c>
      <c r="F13" s="9" t="s">
        <v>30</v>
      </c>
      <c r="G13" s="5"/>
      <c r="H13" s="5"/>
      <c r="I13" s="5"/>
    </row>
    <row r="14" spans="1:9" x14ac:dyDescent="0.25">
      <c r="A14" s="6" t="s">
        <v>15</v>
      </c>
      <c r="B14" s="4">
        <f>IFERROR(1/E14-1.4, "NA- use default")</f>
        <v>17.97984496124031</v>
      </c>
      <c r="C14" s="5">
        <v>0.86</v>
      </c>
      <c r="D14" s="5">
        <f t="shared" si="0"/>
        <v>258</v>
      </c>
      <c r="E14" s="7">
        <f>IFERROR(D14/B$5, "NA")</f>
        <v>5.16E-2</v>
      </c>
      <c r="F14" s="9" t="s">
        <v>33</v>
      </c>
      <c r="G14" s="5"/>
      <c r="H14" s="5"/>
      <c r="I14" s="5"/>
    </row>
    <row r="18" spans="1:5" ht="18" thickBot="1" x14ac:dyDescent="0.35">
      <c r="A18" s="8" t="s">
        <v>34</v>
      </c>
      <c r="B18" s="8"/>
      <c r="C18" s="8"/>
      <c r="D18" s="8"/>
      <c r="E18" s="8"/>
    </row>
    <row r="19" spans="1:5" ht="15.75" thickTop="1" x14ac:dyDescent="0.25"/>
    <row r="20" spans="1:5" x14ac:dyDescent="0.25">
      <c r="A20" t="s">
        <v>41</v>
      </c>
    </row>
    <row r="22" spans="1:5" ht="58.5" customHeight="1" x14ac:dyDescent="0.25">
      <c r="A22" s="5" t="s">
        <v>35</v>
      </c>
      <c r="B22" s="5" t="s">
        <v>40</v>
      </c>
      <c r="C22" s="5" t="s">
        <v>36</v>
      </c>
      <c r="D22" s="5" t="s">
        <v>37</v>
      </c>
      <c r="E22" s="5" t="s">
        <v>39</v>
      </c>
    </row>
    <row r="23" spans="1:5" x14ac:dyDescent="0.25">
      <c r="A23" s="3" t="s">
        <v>38</v>
      </c>
      <c r="B23" s="3">
        <v>0.31</v>
      </c>
      <c r="C23" s="3">
        <v>0.27</v>
      </c>
      <c r="D23" s="10">
        <f>IFERROR((1/B23-0.17)^(-1),"")</f>
        <v>0.32724585664520212</v>
      </c>
      <c r="E23" s="10">
        <f>IF(ISBLANK(A23),"",C23/0.86)</f>
        <v>0.31395348837209303</v>
      </c>
    </row>
    <row r="24" spans="1:5" x14ac:dyDescent="0.25">
      <c r="A24" s="3"/>
      <c r="B24" s="3"/>
      <c r="C24" s="3"/>
      <c r="D24" s="10" t="str">
        <f t="shared" ref="D24:D29" si="1">IFERROR((1/B24-0.17)^(-1),"")</f>
        <v/>
      </c>
      <c r="E24" s="10" t="str">
        <f t="shared" ref="E24:E29" si="2">IF(ISBLANK(A24),"",C24/0.86)</f>
        <v/>
      </c>
    </row>
    <row r="25" spans="1:5" x14ac:dyDescent="0.25">
      <c r="A25" s="3"/>
      <c r="B25" s="3"/>
      <c r="C25" s="3"/>
      <c r="D25" s="10" t="str">
        <f t="shared" si="1"/>
        <v/>
      </c>
      <c r="E25" s="10" t="str">
        <f t="shared" si="2"/>
        <v/>
      </c>
    </row>
    <row r="26" spans="1:5" x14ac:dyDescent="0.25">
      <c r="A26" s="3"/>
      <c r="B26" s="3"/>
      <c r="C26" s="3"/>
      <c r="D26" s="10" t="str">
        <f t="shared" si="1"/>
        <v/>
      </c>
      <c r="E26" s="10" t="str">
        <f t="shared" si="2"/>
        <v/>
      </c>
    </row>
    <row r="27" spans="1:5" x14ac:dyDescent="0.25">
      <c r="A27" s="3"/>
      <c r="B27" s="3"/>
      <c r="C27" s="3"/>
      <c r="D27" s="10" t="str">
        <f t="shared" si="1"/>
        <v/>
      </c>
      <c r="E27" s="10" t="str">
        <f t="shared" si="2"/>
        <v/>
      </c>
    </row>
    <row r="28" spans="1:5" x14ac:dyDescent="0.25">
      <c r="A28" s="3"/>
      <c r="B28" s="3"/>
      <c r="C28" s="3"/>
      <c r="D28" s="10" t="str">
        <f t="shared" si="1"/>
        <v/>
      </c>
      <c r="E28" s="10" t="str">
        <f t="shared" si="2"/>
        <v/>
      </c>
    </row>
    <row r="29" spans="1:5" x14ac:dyDescent="0.25">
      <c r="A29" s="3"/>
      <c r="B29" s="3"/>
      <c r="C29" s="3"/>
      <c r="D29" s="10" t="str">
        <f t="shared" si="1"/>
        <v/>
      </c>
      <c r="E29" s="10" t="str">
        <f t="shared" si="2"/>
        <v/>
      </c>
    </row>
    <row r="33" spans="1:17" ht="18" thickBot="1" x14ac:dyDescent="0.35">
      <c r="A33" s="8" t="s">
        <v>42</v>
      </c>
      <c r="B33" s="8"/>
      <c r="C33" s="8"/>
      <c r="D33" s="8"/>
      <c r="E33" s="8"/>
    </row>
    <row r="34" spans="1:17" ht="15.75" thickTop="1" x14ac:dyDescent="0.25">
      <c r="A34" t="s">
        <v>45</v>
      </c>
    </row>
    <row r="36" spans="1:17" x14ac:dyDescent="0.25">
      <c r="F36" t="s">
        <v>57</v>
      </c>
      <c r="I36" t="s">
        <v>58</v>
      </c>
    </row>
    <row r="37" spans="1:17" ht="58.5" customHeight="1" x14ac:dyDescent="0.25">
      <c r="A37" s="5" t="s">
        <v>35</v>
      </c>
      <c r="B37" s="11" t="s">
        <v>43</v>
      </c>
      <c r="C37" s="11" t="s">
        <v>44</v>
      </c>
      <c r="D37" s="5" t="s">
        <v>46</v>
      </c>
      <c r="E37" s="5" t="s">
        <v>47</v>
      </c>
      <c r="F37" s="5" t="s">
        <v>56</v>
      </c>
      <c r="G37" s="5" t="s">
        <v>55</v>
      </c>
      <c r="H37" s="5" t="s">
        <v>50</v>
      </c>
      <c r="I37" s="5" t="s">
        <v>48</v>
      </c>
      <c r="J37" s="5" t="s">
        <v>49</v>
      </c>
      <c r="K37" s="5" t="s">
        <v>50</v>
      </c>
      <c r="N37" s="14" t="s">
        <v>51</v>
      </c>
      <c r="O37" s="14" t="s">
        <v>52</v>
      </c>
      <c r="P37" s="14" t="s">
        <v>53</v>
      </c>
      <c r="Q37" s="14" t="s">
        <v>54</v>
      </c>
    </row>
    <row r="38" spans="1:17" x14ac:dyDescent="0.25">
      <c r="A38" s="3" t="s">
        <v>38</v>
      </c>
      <c r="B38" s="3">
        <v>0.66</v>
      </c>
      <c r="C38" s="3">
        <v>0.33</v>
      </c>
      <c r="D38" s="3">
        <v>0.31</v>
      </c>
      <c r="E38" s="3">
        <v>0.6</v>
      </c>
      <c r="F38" s="12">
        <f>IFERROR(($B38*D38+$C38*E38)/($B38+$C38),"")</f>
        <v>0.40666666666666668</v>
      </c>
      <c r="G38" s="13">
        <f>IFERROR(($B38*N38+$C38*O38)/($B38+$C38),"")</f>
        <v>0.33333333333333337</v>
      </c>
      <c r="H38" s="13">
        <f>IFERROR(($B38*P38+$C38*Q38)/($B38+$C38),"")</f>
        <v>0.45</v>
      </c>
      <c r="I38" s="10">
        <f>IFERROR(((1/F38)-0.17)^(-1),"")</f>
        <v>0.43686886772183625</v>
      </c>
      <c r="J38" s="10">
        <f t="shared" ref="J38:K38" si="3">IFERROR(((1/G38)-0.17)^(-1),"")</f>
        <v>0.35335689045936403</v>
      </c>
      <c r="K38" s="10">
        <f t="shared" si="3"/>
        <v>0.48727666486193821</v>
      </c>
      <c r="N38" s="15">
        <v>0.3</v>
      </c>
      <c r="O38" s="15">
        <v>0.4</v>
      </c>
      <c r="P38" s="15">
        <v>0.4</v>
      </c>
      <c r="Q38" s="15">
        <v>0.55000000000000004</v>
      </c>
    </row>
    <row r="39" spans="1:17" x14ac:dyDescent="0.25">
      <c r="A39" s="3"/>
      <c r="B39" s="3"/>
      <c r="C39" s="3"/>
      <c r="D39" s="3"/>
      <c r="E39" s="3"/>
      <c r="F39" s="12" t="str">
        <f t="shared" ref="F39:F44" si="4">IFERROR(($B39*D39+$C39*E39)/($B39+$C39),"")</f>
        <v/>
      </c>
      <c r="G39" s="13" t="str">
        <f t="shared" ref="G39:G44" si="5">IFERROR(($B39*N39+$C39*O39)/($B39+$C39),"")</f>
        <v/>
      </c>
      <c r="H39" s="13" t="str">
        <f t="shared" ref="H39:H44" si="6">IFERROR(($B39*P39+$C39*Q39)/($B39+$C39),"")</f>
        <v/>
      </c>
      <c r="I39" s="10" t="str">
        <f t="shared" ref="I39:I44" si="7">IFERROR(((1/F39)-0.17)^(-1),"")</f>
        <v/>
      </c>
      <c r="J39" s="10" t="str">
        <f t="shared" ref="J39:J44" si="8">IFERROR(((1/G39)-0.17)^(-1),"")</f>
        <v/>
      </c>
      <c r="K39" s="10" t="str">
        <f t="shared" ref="K39:K44" si="9">IFERROR(((1/H39)-0.17)^(-1),"")</f>
        <v/>
      </c>
      <c r="N39" s="15">
        <v>0.3</v>
      </c>
      <c r="O39" s="15">
        <v>0.4</v>
      </c>
      <c r="P39" s="15">
        <v>0.4</v>
      </c>
      <c r="Q39" s="15">
        <v>0.55000000000000004</v>
      </c>
    </row>
    <row r="40" spans="1:17" x14ac:dyDescent="0.25">
      <c r="A40" s="3"/>
      <c r="B40" s="3"/>
      <c r="C40" s="3"/>
      <c r="D40" s="3"/>
      <c r="E40" s="3"/>
      <c r="F40" s="12" t="str">
        <f t="shared" si="4"/>
        <v/>
      </c>
      <c r="G40" s="13" t="str">
        <f t="shared" si="5"/>
        <v/>
      </c>
      <c r="H40" s="13" t="str">
        <f t="shared" si="6"/>
        <v/>
      </c>
      <c r="I40" s="10" t="str">
        <f t="shared" si="7"/>
        <v/>
      </c>
      <c r="J40" s="10" t="str">
        <f t="shared" si="8"/>
        <v/>
      </c>
      <c r="K40" s="10" t="str">
        <f t="shared" si="9"/>
        <v/>
      </c>
      <c r="N40" s="15">
        <v>0.3</v>
      </c>
      <c r="O40" s="15">
        <v>0.4</v>
      </c>
      <c r="P40" s="15">
        <v>0.4</v>
      </c>
      <c r="Q40" s="15">
        <v>0.55000000000000004</v>
      </c>
    </row>
    <row r="41" spans="1:17" x14ac:dyDescent="0.25">
      <c r="A41" s="3"/>
      <c r="B41" s="3"/>
      <c r="C41" s="3"/>
      <c r="D41" s="3"/>
      <c r="E41" s="3"/>
      <c r="F41" s="12" t="str">
        <f t="shared" si="4"/>
        <v/>
      </c>
      <c r="G41" s="13" t="str">
        <f t="shared" si="5"/>
        <v/>
      </c>
      <c r="H41" s="13" t="str">
        <f t="shared" si="6"/>
        <v/>
      </c>
      <c r="I41" s="10" t="str">
        <f t="shared" si="7"/>
        <v/>
      </c>
      <c r="J41" s="10" t="str">
        <f t="shared" si="8"/>
        <v/>
      </c>
      <c r="K41" s="10" t="str">
        <f t="shared" si="9"/>
        <v/>
      </c>
      <c r="N41" s="15">
        <v>0.3</v>
      </c>
      <c r="O41" s="15">
        <v>0.4</v>
      </c>
      <c r="P41" s="15">
        <v>0.4</v>
      </c>
      <c r="Q41" s="15">
        <v>0.55000000000000004</v>
      </c>
    </row>
    <row r="42" spans="1:17" x14ac:dyDescent="0.25">
      <c r="A42" s="3"/>
      <c r="B42" s="3"/>
      <c r="C42" s="3"/>
      <c r="D42" s="3"/>
      <c r="E42" s="3"/>
      <c r="F42" s="12" t="str">
        <f t="shared" si="4"/>
        <v/>
      </c>
      <c r="G42" s="13" t="str">
        <f t="shared" si="5"/>
        <v/>
      </c>
      <c r="H42" s="13" t="str">
        <f t="shared" si="6"/>
        <v/>
      </c>
      <c r="I42" s="10" t="str">
        <f t="shared" si="7"/>
        <v/>
      </c>
      <c r="J42" s="10" t="str">
        <f t="shared" si="8"/>
        <v/>
      </c>
      <c r="K42" s="10" t="str">
        <f t="shared" si="9"/>
        <v/>
      </c>
      <c r="N42" s="15">
        <v>0.3</v>
      </c>
      <c r="O42" s="15">
        <v>0.4</v>
      </c>
      <c r="P42" s="15">
        <v>0.4</v>
      </c>
      <c r="Q42" s="15">
        <v>0.55000000000000004</v>
      </c>
    </row>
    <row r="43" spans="1:17" x14ac:dyDescent="0.25">
      <c r="A43" s="3"/>
      <c r="B43" s="3"/>
      <c r="C43" s="3"/>
      <c r="D43" s="3"/>
      <c r="E43" s="3"/>
      <c r="F43" s="12" t="str">
        <f t="shared" si="4"/>
        <v/>
      </c>
      <c r="G43" s="13" t="str">
        <f t="shared" si="5"/>
        <v/>
      </c>
      <c r="H43" s="13" t="str">
        <f t="shared" si="6"/>
        <v/>
      </c>
      <c r="I43" s="10" t="str">
        <f t="shared" si="7"/>
        <v/>
      </c>
      <c r="J43" s="10" t="str">
        <f t="shared" si="8"/>
        <v/>
      </c>
      <c r="K43" s="10" t="str">
        <f t="shared" si="9"/>
        <v/>
      </c>
      <c r="N43" s="15">
        <v>0.3</v>
      </c>
      <c r="O43" s="15">
        <v>0.4</v>
      </c>
      <c r="P43" s="15">
        <v>0.4</v>
      </c>
      <c r="Q43" s="15">
        <v>0.55000000000000004</v>
      </c>
    </row>
    <row r="44" spans="1:17" x14ac:dyDescent="0.25">
      <c r="A44" s="3"/>
      <c r="B44" s="3"/>
      <c r="C44" s="3"/>
      <c r="D44" s="3"/>
      <c r="E44" s="3"/>
      <c r="F44" s="12" t="str">
        <f t="shared" si="4"/>
        <v/>
      </c>
      <c r="G44" s="13" t="str">
        <f t="shared" si="5"/>
        <v/>
      </c>
      <c r="H44" s="13" t="str">
        <f t="shared" si="6"/>
        <v/>
      </c>
      <c r="I44" s="10" t="str">
        <f t="shared" si="7"/>
        <v/>
      </c>
      <c r="J44" s="10" t="str">
        <f t="shared" si="8"/>
        <v/>
      </c>
      <c r="K44" s="10" t="str">
        <f t="shared" si="9"/>
        <v/>
      </c>
      <c r="N44" s="15">
        <v>0.3</v>
      </c>
      <c r="O44" s="15">
        <v>0.4</v>
      </c>
      <c r="P44" s="15">
        <v>0.4</v>
      </c>
      <c r="Q44" s="15">
        <v>0.55000000000000004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E53D-DF55-4A05-A6F2-4A80753150D8}">
  <sheetPr>
    <tabColor rgb="FF00B0F0"/>
  </sheetPr>
  <dimension ref="A2:M72"/>
  <sheetViews>
    <sheetView tabSelected="1" workbookViewId="0">
      <selection activeCell="H34" sqref="H34"/>
    </sheetView>
  </sheetViews>
  <sheetFormatPr defaultRowHeight="15" x14ac:dyDescent="0.25"/>
  <cols>
    <col min="1" max="1" width="19.42578125" bestFit="1" customWidth="1"/>
    <col min="5" max="7" width="16.140625" bestFit="1" customWidth="1"/>
    <col min="10" max="10" width="12.7109375" bestFit="1" customWidth="1"/>
    <col min="11" max="11" width="11.28515625" bestFit="1" customWidth="1"/>
    <col min="12" max="12" width="13.7109375" bestFit="1" customWidth="1"/>
  </cols>
  <sheetData>
    <row r="2" spans="1:12" x14ac:dyDescent="0.25">
      <c r="A2" s="5"/>
      <c r="B2" s="267"/>
      <c r="C2" s="6"/>
    </row>
    <row r="3" spans="1:12" x14ac:dyDescent="0.25">
      <c r="A3" s="6" t="s">
        <v>626</v>
      </c>
      <c r="B3" s="3">
        <v>2500</v>
      </c>
      <c r="C3" s="6" t="s">
        <v>21</v>
      </c>
      <c r="D3" t="s">
        <v>388</v>
      </c>
    </row>
    <row r="4" spans="1:12" x14ac:dyDescent="0.25">
      <c r="A4" s="6" t="s">
        <v>627</v>
      </c>
      <c r="B4" s="3">
        <v>15</v>
      </c>
      <c r="C4" s="6"/>
      <c r="D4" t="s">
        <v>631</v>
      </c>
    </row>
    <row r="5" spans="1:12" x14ac:dyDescent="0.25">
      <c r="A5" s="6" t="s">
        <v>628</v>
      </c>
      <c r="B5" s="270">
        <f>B3/B4</f>
        <v>166.66666666666666</v>
      </c>
      <c r="C5" s="6" t="s">
        <v>629</v>
      </c>
      <c r="D5" t="s">
        <v>633</v>
      </c>
    </row>
    <row r="6" spans="1:12" x14ac:dyDescent="0.25">
      <c r="A6" s="5"/>
      <c r="B6" s="268"/>
      <c r="C6" s="6"/>
    </row>
    <row r="7" spans="1:12" x14ac:dyDescent="0.25">
      <c r="B7" t="str">
        <f>'Kitchen Equipment'!AB74&amp;" "&amp;'Kitchen Equipment'!AC74&amp;" "&amp;'Kitchen Equipment'!AD74&amp;" "&amp;'Kitchen Equipment'!AE74&amp;" "&amp;'Kitchen Equipment'!AF74&amp;" "&amp;'Kitchen Equipment'!AG74</f>
        <v xml:space="preserve">     </v>
      </c>
    </row>
    <row r="8" spans="1:12" x14ac:dyDescent="0.25">
      <c r="A8" s="5" t="s">
        <v>630</v>
      </c>
      <c r="B8" s="269">
        <f>23+1</f>
        <v>24</v>
      </c>
      <c r="C8" s="6" t="s">
        <v>629</v>
      </c>
    </row>
    <row r="9" spans="1:12" x14ac:dyDescent="0.25">
      <c r="A9" s="5" t="s">
        <v>632</v>
      </c>
      <c r="B9" s="269">
        <f>B8*2</f>
        <v>48</v>
      </c>
      <c r="C9" s="6" t="s">
        <v>629</v>
      </c>
    </row>
    <row r="11" spans="1:12" x14ac:dyDescent="0.25">
      <c r="D11" s="409" t="s">
        <v>643</v>
      </c>
      <c r="E11" s="409"/>
      <c r="F11" s="409"/>
      <c r="G11" s="409"/>
      <c r="H11" s="409"/>
      <c r="I11" s="409"/>
      <c r="J11" s="409"/>
      <c r="K11" s="409"/>
      <c r="L11" s="409"/>
    </row>
    <row r="12" spans="1:12" ht="45" x14ac:dyDescent="0.25">
      <c r="D12" s="6" t="s">
        <v>403</v>
      </c>
      <c r="E12" s="5" t="s">
        <v>634</v>
      </c>
      <c r="F12" s="394" t="s">
        <v>635</v>
      </c>
      <c r="G12" s="398"/>
      <c r="J12" s="388" t="s">
        <v>637</v>
      </c>
      <c r="K12" s="388" t="s">
        <v>638</v>
      </c>
      <c r="L12" s="398"/>
    </row>
    <row r="13" spans="1:12" x14ac:dyDescent="0.25">
      <c r="D13" s="6"/>
      <c r="E13" s="6" t="s">
        <v>408</v>
      </c>
      <c r="F13" s="395" t="s">
        <v>408</v>
      </c>
      <c r="G13" s="399"/>
      <c r="L13" s="402"/>
    </row>
    <row r="14" spans="1:12" x14ac:dyDescent="0.25">
      <c r="D14" s="6"/>
      <c r="E14" s="6" t="s">
        <v>409</v>
      </c>
      <c r="F14" s="395" t="s">
        <v>409</v>
      </c>
      <c r="G14" s="399"/>
      <c r="J14" s="390" t="s">
        <v>629</v>
      </c>
      <c r="K14" s="390" t="s">
        <v>629</v>
      </c>
      <c r="L14" s="399"/>
    </row>
    <row r="15" spans="1:12" x14ac:dyDescent="0.25">
      <c r="D15" s="6">
        <v>1</v>
      </c>
      <c r="E15" s="267">
        <v>0</v>
      </c>
      <c r="F15" s="396">
        <v>0</v>
      </c>
      <c r="G15" s="400"/>
      <c r="J15" s="389">
        <f>E15*$B$5</f>
        <v>0</v>
      </c>
      <c r="K15" s="389">
        <f>F15*$B$5</f>
        <v>0</v>
      </c>
      <c r="L15" s="403"/>
    </row>
    <row r="16" spans="1:12" x14ac:dyDescent="0.25">
      <c r="D16" s="6">
        <v>2</v>
      </c>
      <c r="E16" s="267">
        <v>0</v>
      </c>
      <c r="F16" s="396">
        <v>0</v>
      </c>
      <c r="G16" s="400"/>
      <c r="J16" s="389">
        <f t="shared" ref="J16:K38" si="0">E16*$B$5</f>
        <v>0</v>
      </c>
      <c r="K16" s="389">
        <f t="shared" si="0"/>
        <v>0</v>
      </c>
      <c r="L16" s="403"/>
    </row>
    <row r="17" spans="4:13" x14ac:dyDescent="0.25">
      <c r="D17" s="6">
        <v>3</v>
      </c>
      <c r="E17" s="267">
        <v>0</v>
      </c>
      <c r="F17" s="396">
        <v>0</v>
      </c>
      <c r="G17" s="400"/>
      <c r="J17" s="389">
        <f t="shared" si="0"/>
        <v>0</v>
      </c>
      <c r="K17" s="389">
        <f t="shared" si="0"/>
        <v>0</v>
      </c>
      <c r="L17" s="403"/>
    </row>
    <row r="18" spans="4:13" x14ac:dyDescent="0.25">
      <c r="D18" s="6">
        <v>4</v>
      </c>
      <c r="E18" s="267">
        <v>0</v>
      </c>
      <c r="F18" s="396">
        <v>0</v>
      </c>
      <c r="G18" s="400"/>
      <c r="J18" s="389">
        <f t="shared" si="0"/>
        <v>0</v>
      </c>
      <c r="K18" s="389">
        <f t="shared" si="0"/>
        <v>0</v>
      </c>
      <c r="L18" s="403"/>
    </row>
    <row r="19" spans="4:13" x14ac:dyDescent="0.25">
      <c r="D19" s="6">
        <v>5</v>
      </c>
      <c r="E19" s="267">
        <v>0</v>
      </c>
      <c r="F19" s="396">
        <v>0</v>
      </c>
      <c r="G19" s="400"/>
      <c r="J19" s="389">
        <f t="shared" si="0"/>
        <v>0</v>
      </c>
      <c r="K19" s="389">
        <f t="shared" si="0"/>
        <v>0</v>
      </c>
      <c r="L19" s="403"/>
    </row>
    <row r="20" spans="4:13" x14ac:dyDescent="0.25">
      <c r="D20" s="6">
        <v>6</v>
      </c>
      <c r="E20" s="267">
        <v>0</v>
      </c>
      <c r="F20" s="396">
        <v>0</v>
      </c>
      <c r="G20" s="400"/>
      <c r="J20" s="389">
        <f t="shared" si="0"/>
        <v>0</v>
      </c>
      <c r="K20" s="389">
        <f t="shared" si="0"/>
        <v>0</v>
      </c>
      <c r="L20" s="403"/>
    </row>
    <row r="21" spans="4:13" x14ac:dyDescent="0.25">
      <c r="D21" s="6">
        <v>7</v>
      </c>
      <c r="E21" s="267">
        <v>0</v>
      </c>
      <c r="F21" s="396">
        <v>0</v>
      </c>
      <c r="G21" s="400"/>
      <c r="J21" s="389">
        <f t="shared" si="0"/>
        <v>0</v>
      </c>
      <c r="K21" s="389">
        <f t="shared" si="0"/>
        <v>0</v>
      </c>
      <c r="L21" s="403"/>
    </row>
    <row r="22" spans="4:13" x14ac:dyDescent="0.25">
      <c r="D22" s="6">
        <v>8</v>
      </c>
      <c r="E22" s="267">
        <v>0</v>
      </c>
      <c r="F22" s="396">
        <v>0</v>
      </c>
      <c r="G22" s="400"/>
      <c r="J22" s="389">
        <f t="shared" si="0"/>
        <v>0</v>
      </c>
      <c r="K22" s="389">
        <f t="shared" si="0"/>
        <v>0</v>
      </c>
      <c r="L22" s="403"/>
    </row>
    <row r="23" spans="4:13" x14ac:dyDescent="0.25">
      <c r="D23" s="6">
        <v>9</v>
      </c>
      <c r="E23" s="393">
        <f>$B$8/$B$5</f>
        <v>0.14400000000000002</v>
      </c>
      <c r="F23" s="397">
        <f>$B$9/$B$5</f>
        <v>0.28800000000000003</v>
      </c>
      <c r="G23" s="401"/>
      <c r="J23" s="391">
        <f t="shared" si="0"/>
        <v>24</v>
      </c>
      <c r="K23" s="391">
        <f t="shared" si="0"/>
        <v>48</v>
      </c>
      <c r="L23" s="404"/>
      <c r="M23" s="406" t="s">
        <v>640</v>
      </c>
    </row>
    <row r="24" spans="4:13" x14ac:dyDescent="0.25">
      <c r="D24" s="6">
        <v>10</v>
      </c>
      <c r="E24" s="393">
        <f t="shared" ref="E24:F31" si="1">$B$8/$B$5</f>
        <v>0.14400000000000002</v>
      </c>
      <c r="F24" s="397">
        <f t="shared" ref="F24:F29" si="2">$B$9/$B$5</f>
        <v>0.28800000000000003</v>
      </c>
      <c r="G24" s="401"/>
      <c r="J24" s="389">
        <f t="shared" si="0"/>
        <v>24</v>
      </c>
      <c r="K24" s="389">
        <f t="shared" si="0"/>
        <v>48</v>
      </c>
      <c r="L24" s="403"/>
      <c r="M24" s="407"/>
    </row>
    <row r="25" spans="4:13" x14ac:dyDescent="0.25">
      <c r="D25" s="6">
        <v>11</v>
      </c>
      <c r="E25" s="393">
        <f t="shared" si="1"/>
        <v>0.14400000000000002</v>
      </c>
      <c r="F25" s="397">
        <f t="shared" si="2"/>
        <v>0.28800000000000003</v>
      </c>
      <c r="G25" s="401"/>
      <c r="J25" s="389">
        <f t="shared" si="0"/>
        <v>24</v>
      </c>
      <c r="K25" s="389">
        <f t="shared" si="0"/>
        <v>48</v>
      </c>
      <c r="L25" s="403"/>
      <c r="M25" s="407"/>
    </row>
    <row r="26" spans="4:13" x14ac:dyDescent="0.25">
      <c r="D26" s="6">
        <v>12</v>
      </c>
      <c r="E26" s="393">
        <f t="shared" si="1"/>
        <v>0.14400000000000002</v>
      </c>
      <c r="F26" s="397">
        <f t="shared" si="2"/>
        <v>0.28800000000000003</v>
      </c>
      <c r="G26" s="401"/>
      <c r="J26" s="389">
        <f t="shared" si="0"/>
        <v>24</v>
      </c>
      <c r="K26" s="389">
        <f t="shared" si="0"/>
        <v>48</v>
      </c>
      <c r="L26" s="403"/>
      <c r="M26" s="407"/>
    </row>
    <row r="27" spans="4:13" x14ac:dyDescent="0.25">
      <c r="D27" s="6">
        <v>13</v>
      </c>
      <c r="E27" s="393">
        <f t="shared" si="1"/>
        <v>0.14400000000000002</v>
      </c>
      <c r="F27" s="397">
        <f t="shared" si="2"/>
        <v>0.28800000000000003</v>
      </c>
      <c r="G27" s="401"/>
      <c r="J27" s="389">
        <f t="shared" si="0"/>
        <v>24</v>
      </c>
      <c r="K27" s="389">
        <f t="shared" si="0"/>
        <v>48</v>
      </c>
      <c r="L27" s="403"/>
      <c r="M27" s="407"/>
    </row>
    <row r="28" spans="4:13" x14ac:dyDescent="0.25">
      <c r="D28" s="6">
        <v>14</v>
      </c>
      <c r="E28" s="393">
        <f t="shared" si="1"/>
        <v>0.14400000000000002</v>
      </c>
      <c r="F28" s="397">
        <f t="shared" si="2"/>
        <v>0.28800000000000003</v>
      </c>
      <c r="G28" s="401"/>
      <c r="J28" s="389">
        <f t="shared" si="0"/>
        <v>24</v>
      </c>
      <c r="K28" s="389">
        <f t="shared" si="0"/>
        <v>48</v>
      </c>
      <c r="L28" s="403"/>
      <c r="M28" s="407"/>
    </row>
    <row r="29" spans="4:13" x14ac:dyDescent="0.25">
      <c r="D29" s="6">
        <v>15</v>
      </c>
      <c r="E29" s="393">
        <f t="shared" si="1"/>
        <v>0.14400000000000002</v>
      </c>
      <c r="F29" s="397">
        <f t="shared" si="2"/>
        <v>0.28800000000000003</v>
      </c>
      <c r="G29" s="401"/>
      <c r="J29" s="392">
        <f t="shared" si="0"/>
        <v>24</v>
      </c>
      <c r="K29" s="392">
        <f t="shared" si="0"/>
        <v>48</v>
      </c>
      <c r="L29" s="405"/>
      <c r="M29" s="408"/>
    </row>
    <row r="30" spans="4:13" x14ac:dyDescent="0.25">
      <c r="D30" s="6">
        <v>16</v>
      </c>
      <c r="E30" s="393">
        <f t="shared" si="1"/>
        <v>0.14400000000000002</v>
      </c>
      <c r="F30" s="397">
        <f t="shared" si="1"/>
        <v>0.14400000000000002</v>
      </c>
      <c r="G30" s="401"/>
      <c r="J30" s="391">
        <f t="shared" si="0"/>
        <v>24</v>
      </c>
      <c r="K30" s="391">
        <f t="shared" si="0"/>
        <v>24</v>
      </c>
      <c r="L30" s="404"/>
      <c r="M30" s="406" t="s">
        <v>641</v>
      </c>
    </row>
    <row r="31" spans="4:13" x14ac:dyDescent="0.25">
      <c r="D31" s="6">
        <v>17</v>
      </c>
      <c r="E31" s="267">
        <v>0</v>
      </c>
      <c r="F31" s="397">
        <f t="shared" si="1"/>
        <v>0.14400000000000002</v>
      </c>
      <c r="G31" s="401"/>
      <c r="J31" s="389">
        <f t="shared" si="0"/>
        <v>0</v>
      </c>
      <c r="K31" s="389">
        <f t="shared" si="0"/>
        <v>24</v>
      </c>
      <c r="L31" s="403"/>
      <c r="M31" s="407"/>
    </row>
    <row r="32" spans="4:13" x14ac:dyDescent="0.25">
      <c r="D32" s="6">
        <v>18</v>
      </c>
      <c r="E32" s="267">
        <v>0</v>
      </c>
      <c r="F32" s="396">
        <v>0</v>
      </c>
      <c r="G32" s="401"/>
      <c r="J32" s="392">
        <f t="shared" si="0"/>
        <v>0</v>
      </c>
      <c r="K32" s="392">
        <f t="shared" si="0"/>
        <v>0</v>
      </c>
      <c r="L32" s="405"/>
      <c r="M32" s="408"/>
    </row>
    <row r="33" spans="4:13" x14ac:dyDescent="0.25">
      <c r="D33" s="6">
        <v>19</v>
      </c>
      <c r="E33" s="267">
        <v>0</v>
      </c>
      <c r="F33" s="396">
        <v>0</v>
      </c>
      <c r="G33" s="400"/>
      <c r="J33" s="391">
        <f t="shared" si="0"/>
        <v>0</v>
      </c>
      <c r="K33" s="391">
        <f t="shared" si="0"/>
        <v>0</v>
      </c>
      <c r="L33" s="404"/>
      <c r="M33" s="406" t="s">
        <v>642</v>
      </c>
    </row>
    <row r="34" spans="4:13" x14ac:dyDescent="0.25">
      <c r="D34" s="6">
        <v>20</v>
      </c>
      <c r="E34" s="267">
        <v>0</v>
      </c>
      <c r="F34" s="396">
        <v>0</v>
      </c>
      <c r="G34" s="400"/>
      <c r="J34" s="389">
        <f t="shared" si="0"/>
        <v>0</v>
      </c>
      <c r="K34" s="389">
        <f t="shared" si="0"/>
        <v>0</v>
      </c>
      <c r="L34" s="403"/>
      <c r="M34" s="407"/>
    </row>
    <row r="35" spans="4:13" x14ac:dyDescent="0.25">
      <c r="D35" s="6">
        <v>21</v>
      </c>
      <c r="E35" s="267">
        <v>0</v>
      </c>
      <c r="F35" s="396">
        <v>0</v>
      </c>
      <c r="G35" s="400"/>
      <c r="J35" s="392">
        <f t="shared" si="0"/>
        <v>0</v>
      </c>
      <c r="K35" s="392">
        <f t="shared" si="0"/>
        <v>0</v>
      </c>
      <c r="L35" s="405"/>
      <c r="M35" s="408"/>
    </row>
    <row r="36" spans="4:13" x14ac:dyDescent="0.25">
      <c r="D36" s="6">
        <v>22</v>
      </c>
      <c r="E36" s="267">
        <v>0</v>
      </c>
      <c r="F36" s="396">
        <v>0</v>
      </c>
      <c r="G36" s="400"/>
      <c r="J36" s="389">
        <f t="shared" si="0"/>
        <v>0</v>
      </c>
      <c r="K36" s="389">
        <f t="shared" si="0"/>
        <v>0</v>
      </c>
      <c r="L36" s="403"/>
    </row>
    <row r="37" spans="4:13" x14ac:dyDescent="0.25">
      <c r="D37" s="6">
        <v>23</v>
      </c>
      <c r="E37" s="267">
        <v>0</v>
      </c>
      <c r="F37" s="396">
        <v>0</v>
      </c>
      <c r="G37" s="400"/>
      <c r="J37" s="389">
        <f t="shared" si="0"/>
        <v>0</v>
      </c>
      <c r="K37" s="389">
        <f t="shared" si="0"/>
        <v>0</v>
      </c>
      <c r="L37" s="403"/>
    </row>
    <row r="38" spans="4:13" x14ac:dyDescent="0.25">
      <c r="D38" s="6">
        <v>24</v>
      </c>
      <c r="E38" s="267">
        <v>0</v>
      </c>
      <c r="F38" s="396">
        <v>0</v>
      </c>
      <c r="G38" s="400"/>
      <c r="J38" s="389">
        <f t="shared" si="0"/>
        <v>0</v>
      </c>
      <c r="K38" s="389">
        <f t="shared" si="0"/>
        <v>0</v>
      </c>
      <c r="L38" s="403"/>
    </row>
    <row r="39" spans="4:13" x14ac:dyDescent="0.25">
      <c r="D39" s="6"/>
      <c r="E39" s="6" t="s">
        <v>410</v>
      </c>
      <c r="F39" s="395" t="s">
        <v>410</v>
      </c>
      <c r="G39" s="399"/>
    </row>
    <row r="40" spans="4:13" x14ac:dyDescent="0.25">
      <c r="D40" s="6"/>
      <c r="E40" s="6" t="s">
        <v>411</v>
      </c>
      <c r="F40" s="395" t="s">
        <v>411</v>
      </c>
      <c r="G40" s="399"/>
    </row>
    <row r="43" spans="4:13" x14ac:dyDescent="0.25">
      <c r="D43" s="534" t="s">
        <v>644</v>
      </c>
      <c r="E43" s="534"/>
      <c r="F43" s="534"/>
      <c r="G43" s="534"/>
      <c r="H43" s="534"/>
      <c r="I43" s="534"/>
      <c r="J43" s="534"/>
      <c r="K43" s="534"/>
      <c r="L43" s="534"/>
    </row>
    <row r="44" spans="4:13" ht="45" x14ac:dyDescent="0.25">
      <c r="D44" s="6" t="s">
        <v>403</v>
      </c>
      <c r="E44" s="5" t="s">
        <v>634</v>
      </c>
      <c r="F44" s="5" t="s">
        <v>635</v>
      </c>
      <c r="G44" s="5" t="s">
        <v>636</v>
      </c>
      <c r="J44" s="388" t="s">
        <v>637</v>
      </c>
      <c r="K44" s="388" t="s">
        <v>638</v>
      </c>
      <c r="L44" s="388" t="s">
        <v>639</v>
      </c>
    </row>
    <row r="45" spans="4:13" x14ac:dyDescent="0.25">
      <c r="D45" s="6"/>
      <c r="E45" s="6" t="s">
        <v>408</v>
      </c>
      <c r="F45" s="6" t="s">
        <v>408</v>
      </c>
      <c r="G45" s="6" t="s">
        <v>408</v>
      </c>
    </row>
    <row r="46" spans="4:13" x14ac:dyDescent="0.25">
      <c r="D46" s="6"/>
      <c r="E46" s="6" t="s">
        <v>409</v>
      </c>
      <c r="F46" s="6" t="s">
        <v>409</v>
      </c>
      <c r="G46" s="6" t="s">
        <v>409</v>
      </c>
      <c r="J46" s="390" t="s">
        <v>629</v>
      </c>
      <c r="K46" s="390" t="s">
        <v>629</v>
      </c>
      <c r="L46" s="390" t="s">
        <v>629</v>
      </c>
    </row>
    <row r="47" spans="4:13" x14ac:dyDescent="0.25">
      <c r="D47" s="6">
        <v>1</v>
      </c>
      <c r="E47" s="267">
        <v>0</v>
      </c>
      <c r="F47" s="267">
        <v>0</v>
      </c>
      <c r="G47" s="267">
        <v>0</v>
      </c>
      <c r="J47" s="389">
        <f>E47*$B$5</f>
        <v>0</v>
      </c>
      <c r="K47" s="389">
        <f>F47*$B$5</f>
        <v>0</v>
      </c>
      <c r="L47" s="389">
        <f>G47*$B$5</f>
        <v>0</v>
      </c>
    </row>
    <row r="48" spans="4:13" x14ac:dyDescent="0.25">
      <c r="D48" s="6">
        <v>2</v>
      </c>
      <c r="E48" s="267">
        <v>0</v>
      </c>
      <c r="F48" s="267">
        <v>0</v>
      </c>
      <c r="G48" s="267">
        <v>0</v>
      </c>
      <c r="J48" s="389">
        <f t="shared" ref="J48:J70" si="3">E48*$B$5</f>
        <v>0</v>
      </c>
      <c r="K48" s="389">
        <f t="shared" ref="K48:K70" si="4">F48*$B$5</f>
        <v>0</v>
      </c>
      <c r="L48" s="389">
        <f t="shared" ref="L48:L70" si="5">G48*$B$5</f>
        <v>0</v>
      </c>
    </row>
    <row r="49" spans="4:13" x14ac:dyDescent="0.25">
      <c r="D49" s="6">
        <v>3</v>
      </c>
      <c r="E49" s="267">
        <v>0</v>
      </c>
      <c r="F49" s="267">
        <v>0</v>
      </c>
      <c r="G49" s="267">
        <v>0</v>
      </c>
      <c r="J49" s="389">
        <f t="shared" si="3"/>
        <v>0</v>
      </c>
      <c r="K49" s="389">
        <f t="shared" si="4"/>
        <v>0</v>
      </c>
      <c r="L49" s="389">
        <f t="shared" si="5"/>
        <v>0</v>
      </c>
    </row>
    <row r="50" spans="4:13" x14ac:dyDescent="0.25">
      <c r="D50" s="6">
        <v>4</v>
      </c>
      <c r="E50" s="267">
        <v>0</v>
      </c>
      <c r="F50" s="267">
        <v>0</v>
      </c>
      <c r="G50" s="267">
        <v>0</v>
      </c>
      <c r="J50" s="389">
        <f t="shared" si="3"/>
        <v>0</v>
      </c>
      <c r="K50" s="389">
        <f t="shared" si="4"/>
        <v>0</v>
      </c>
      <c r="L50" s="389">
        <f t="shared" si="5"/>
        <v>0</v>
      </c>
    </row>
    <row r="51" spans="4:13" x14ac:dyDescent="0.25">
      <c r="D51" s="6">
        <v>5</v>
      </c>
      <c r="E51" s="267">
        <v>0</v>
      </c>
      <c r="F51" s="267">
        <v>0</v>
      </c>
      <c r="G51" s="267">
        <v>0</v>
      </c>
      <c r="J51" s="389">
        <f t="shared" si="3"/>
        <v>0</v>
      </c>
      <c r="K51" s="389">
        <f t="shared" si="4"/>
        <v>0</v>
      </c>
      <c r="L51" s="389">
        <f t="shared" si="5"/>
        <v>0</v>
      </c>
    </row>
    <row r="52" spans="4:13" x14ac:dyDescent="0.25">
      <c r="D52" s="6">
        <v>6</v>
      </c>
      <c r="E52" s="267">
        <v>0</v>
      </c>
      <c r="F52" s="267">
        <v>0</v>
      </c>
      <c r="G52" s="267">
        <v>0</v>
      </c>
      <c r="J52" s="389">
        <f t="shared" si="3"/>
        <v>0</v>
      </c>
      <c r="K52" s="389">
        <f t="shared" si="4"/>
        <v>0</v>
      </c>
      <c r="L52" s="389">
        <f t="shared" si="5"/>
        <v>0</v>
      </c>
    </row>
    <row r="53" spans="4:13" x14ac:dyDescent="0.25">
      <c r="D53" s="6">
        <v>7</v>
      </c>
      <c r="E53" s="267">
        <v>0</v>
      </c>
      <c r="F53" s="267">
        <v>0</v>
      </c>
      <c r="G53" s="267">
        <v>0</v>
      </c>
      <c r="J53" s="389">
        <f t="shared" si="3"/>
        <v>0</v>
      </c>
      <c r="K53" s="389">
        <f t="shared" si="4"/>
        <v>0</v>
      </c>
      <c r="L53" s="389">
        <f t="shared" si="5"/>
        <v>0</v>
      </c>
    </row>
    <row r="54" spans="4:13" x14ac:dyDescent="0.25">
      <c r="D54" s="6">
        <v>8</v>
      </c>
      <c r="E54" s="267">
        <v>0</v>
      </c>
      <c r="F54" s="267">
        <v>0</v>
      </c>
      <c r="G54" s="267">
        <v>0</v>
      </c>
      <c r="J54" s="389">
        <f t="shared" si="3"/>
        <v>0</v>
      </c>
      <c r="K54" s="389">
        <f t="shared" si="4"/>
        <v>0</v>
      </c>
      <c r="L54" s="389">
        <f t="shared" si="5"/>
        <v>0</v>
      </c>
    </row>
    <row r="55" spans="4:13" x14ac:dyDescent="0.25">
      <c r="D55" s="6">
        <v>9</v>
      </c>
      <c r="E55" s="393">
        <f t="shared" ref="E55:G67" si="6">$B$8/$B$5</f>
        <v>0.14400000000000002</v>
      </c>
      <c r="F55" s="393">
        <f t="shared" ref="F55:F61" si="7">$B$9/$B$5</f>
        <v>0.28800000000000003</v>
      </c>
      <c r="G55" s="393">
        <f t="shared" ref="G55:G61" si="8">$B$9/$B$5</f>
        <v>0.28800000000000003</v>
      </c>
      <c r="J55" s="391">
        <f t="shared" si="3"/>
        <v>24</v>
      </c>
      <c r="K55" s="391">
        <f t="shared" si="4"/>
        <v>48</v>
      </c>
      <c r="L55" s="391">
        <f t="shared" si="5"/>
        <v>48</v>
      </c>
      <c r="M55" s="406" t="s">
        <v>640</v>
      </c>
    </row>
    <row r="56" spans="4:13" x14ac:dyDescent="0.25">
      <c r="D56" s="6">
        <v>10</v>
      </c>
      <c r="E56" s="393">
        <f t="shared" si="6"/>
        <v>0.14400000000000002</v>
      </c>
      <c r="F56" s="393">
        <f t="shared" si="7"/>
        <v>0.28800000000000003</v>
      </c>
      <c r="G56" s="393">
        <f t="shared" si="8"/>
        <v>0.28800000000000003</v>
      </c>
      <c r="J56" s="389">
        <f t="shared" si="3"/>
        <v>24</v>
      </c>
      <c r="K56" s="389">
        <f t="shared" si="4"/>
        <v>48</v>
      </c>
      <c r="L56" s="389">
        <f t="shared" si="5"/>
        <v>48</v>
      </c>
      <c r="M56" s="407"/>
    </row>
    <row r="57" spans="4:13" x14ac:dyDescent="0.25">
      <c r="D57" s="6">
        <v>11</v>
      </c>
      <c r="E57" s="393">
        <f t="shared" si="6"/>
        <v>0.14400000000000002</v>
      </c>
      <c r="F57" s="393">
        <f t="shared" si="7"/>
        <v>0.28800000000000003</v>
      </c>
      <c r="G57" s="393">
        <f t="shared" si="8"/>
        <v>0.28800000000000003</v>
      </c>
      <c r="J57" s="389">
        <f t="shared" si="3"/>
        <v>24</v>
      </c>
      <c r="K57" s="389">
        <f t="shared" si="4"/>
        <v>48</v>
      </c>
      <c r="L57" s="389">
        <f t="shared" si="5"/>
        <v>48</v>
      </c>
      <c r="M57" s="407"/>
    </row>
    <row r="58" spans="4:13" x14ac:dyDescent="0.25">
      <c r="D58" s="6">
        <v>12</v>
      </c>
      <c r="E58" s="393">
        <f t="shared" si="6"/>
        <v>0.14400000000000002</v>
      </c>
      <c r="F58" s="393">
        <f t="shared" si="7"/>
        <v>0.28800000000000003</v>
      </c>
      <c r="G58" s="393">
        <f t="shared" si="8"/>
        <v>0.28800000000000003</v>
      </c>
      <c r="J58" s="389">
        <f t="shared" si="3"/>
        <v>24</v>
      </c>
      <c r="K58" s="389">
        <f t="shared" si="4"/>
        <v>48</v>
      </c>
      <c r="L58" s="389">
        <f t="shared" si="5"/>
        <v>48</v>
      </c>
      <c r="M58" s="407"/>
    </row>
    <row r="59" spans="4:13" x14ac:dyDescent="0.25">
      <c r="D59" s="6">
        <v>13</v>
      </c>
      <c r="E59" s="393">
        <f t="shared" si="6"/>
        <v>0.14400000000000002</v>
      </c>
      <c r="F59" s="393">
        <f t="shared" si="7"/>
        <v>0.28800000000000003</v>
      </c>
      <c r="G59" s="393">
        <f t="shared" si="8"/>
        <v>0.28800000000000003</v>
      </c>
      <c r="J59" s="389">
        <f t="shared" si="3"/>
        <v>24</v>
      </c>
      <c r="K59" s="389">
        <f t="shared" si="4"/>
        <v>48</v>
      </c>
      <c r="L59" s="389">
        <f t="shared" si="5"/>
        <v>48</v>
      </c>
      <c r="M59" s="407"/>
    </row>
    <row r="60" spans="4:13" x14ac:dyDescent="0.25">
      <c r="D60" s="6">
        <v>14</v>
      </c>
      <c r="E60" s="393">
        <f t="shared" si="6"/>
        <v>0.14400000000000002</v>
      </c>
      <c r="F60" s="393">
        <f t="shared" si="7"/>
        <v>0.28800000000000003</v>
      </c>
      <c r="G60" s="393">
        <f t="shared" si="8"/>
        <v>0.28800000000000003</v>
      </c>
      <c r="J60" s="389">
        <f t="shared" si="3"/>
        <v>24</v>
      </c>
      <c r="K60" s="389">
        <f t="shared" si="4"/>
        <v>48</v>
      </c>
      <c r="L60" s="389">
        <f t="shared" si="5"/>
        <v>48</v>
      </c>
      <c r="M60" s="407"/>
    </row>
    <row r="61" spans="4:13" x14ac:dyDescent="0.25">
      <c r="D61" s="6">
        <v>15</v>
      </c>
      <c r="E61" s="393">
        <f t="shared" si="6"/>
        <v>0.14400000000000002</v>
      </c>
      <c r="F61" s="393">
        <f t="shared" si="7"/>
        <v>0.28800000000000003</v>
      </c>
      <c r="G61" s="393">
        <f t="shared" si="8"/>
        <v>0.28800000000000003</v>
      </c>
      <c r="J61" s="392">
        <f t="shared" si="3"/>
        <v>24</v>
      </c>
      <c r="K61" s="392">
        <f t="shared" si="4"/>
        <v>48</v>
      </c>
      <c r="L61" s="392">
        <f t="shared" si="5"/>
        <v>48</v>
      </c>
      <c r="M61" s="408"/>
    </row>
    <row r="62" spans="4:13" x14ac:dyDescent="0.25">
      <c r="D62" s="6">
        <v>16</v>
      </c>
      <c r="E62" s="393">
        <f t="shared" si="6"/>
        <v>0.14400000000000002</v>
      </c>
      <c r="F62" s="393">
        <f t="shared" si="6"/>
        <v>0.14400000000000002</v>
      </c>
      <c r="G62" s="393">
        <f t="shared" si="6"/>
        <v>0.14400000000000002</v>
      </c>
      <c r="J62" s="391">
        <f t="shared" si="3"/>
        <v>24</v>
      </c>
      <c r="K62" s="391">
        <f t="shared" si="4"/>
        <v>24</v>
      </c>
      <c r="L62" s="391">
        <f t="shared" si="5"/>
        <v>24</v>
      </c>
      <c r="M62" s="406" t="s">
        <v>641</v>
      </c>
    </row>
    <row r="63" spans="4:13" x14ac:dyDescent="0.25">
      <c r="D63" s="6">
        <v>17</v>
      </c>
      <c r="E63" s="393">
        <f t="shared" si="6"/>
        <v>0.14400000000000002</v>
      </c>
      <c r="F63" s="393">
        <f t="shared" si="6"/>
        <v>0.14400000000000002</v>
      </c>
      <c r="G63" s="393">
        <f t="shared" si="6"/>
        <v>0.14400000000000002</v>
      </c>
      <c r="J63" s="389">
        <f t="shared" si="3"/>
        <v>24</v>
      </c>
      <c r="K63" s="389">
        <f t="shared" si="4"/>
        <v>24</v>
      </c>
      <c r="L63" s="389">
        <f t="shared" si="5"/>
        <v>24</v>
      </c>
      <c r="M63" s="407"/>
    </row>
    <row r="64" spans="4:13" x14ac:dyDescent="0.25">
      <c r="D64" s="6">
        <v>18</v>
      </c>
      <c r="E64" s="393">
        <f t="shared" si="6"/>
        <v>0.14400000000000002</v>
      </c>
      <c r="F64" s="393">
        <f t="shared" si="6"/>
        <v>0.14400000000000002</v>
      </c>
      <c r="G64" s="393">
        <f t="shared" si="6"/>
        <v>0.14400000000000002</v>
      </c>
      <c r="J64" s="392">
        <f t="shared" si="3"/>
        <v>24</v>
      </c>
      <c r="K64" s="392">
        <f t="shared" si="4"/>
        <v>24</v>
      </c>
      <c r="L64" s="392">
        <f t="shared" si="5"/>
        <v>24</v>
      </c>
      <c r="M64" s="408"/>
    </row>
    <row r="65" spans="4:13" x14ac:dyDescent="0.25">
      <c r="D65" s="6">
        <v>19</v>
      </c>
      <c r="E65" s="393">
        <f t="shared" si="6"/>
        <v>0.14400000000000002</v>
      </c>
      <c r="F65" s="267">
        <v>0</v>
      </c>
      <c r="G65" s="267">
        <v>1</v>
      </c>
      <c r="J65" s="391">
        <f t="shared" si="3"/>
        <v>24</v>
      </c>
      <c r="K65" s="391">
        <f t="shared" si="4"/>
        <v>0</v>
      </c>
      <c r="L65" s="391">
        <f t="shared" si="5"/>
        <v>166.66666666666666</v>
      </c>
      <c r="M65" s="406" t="s">
        <v>642</v>
      </c>
    </row>
    <row r="66" spans="4:13" x14ac:dyDescent="0.25">
      <c r="D66" s="6">
        <v>20</v>
      </c>
      <c r="E66" s="393">
        <f t="shared" si="6"/>
        <v>0.14400000000000002</v>
      </c>
      <c r="F66" s="267">
        <v>0</v>
      </c>
      <c r="G66" s="267">
        <v>1</v>
      </c>
      <c r="J66" s="389">
        <f t="shared" si="3"/>
        <v>24</v>
      </c>
      <c r="K66" s="389">
        <f t="shared" si="4"/>
        <v>0</v>
      </c>
      <c r="L66" s="389">
        <f t="shared" si="5"/>
        <v>166.66666666666666</v>
      </c>
      <c r="M66" s="407"/>
    </row>
    <row r="67" spans="4:13" x14ac:dyDescent="0.25">
      <c r="D67" s="6">
        <v>21</v>
      </c>
      <c r="E67" s="393">
        <f t="shared" si="6"/>
        <v>0.14400000000000002</v>
      </c>
      <c r="F67" s="267">
        <v>0</v>
      </c>
      <c r="G67" s="267">
        <v>1</v>
      </c>
      <c r="J67" s="392">
        <f t="shared" si="3"/>
        <v>24</v>
      </c>
      <c r="K67" s="392">
        <f t="shared" si="4"/>
        <v>0</v>
      </c>
      <c r="L67" s="392">
        <f t="shared" si="5"/>
        <v>166.66666666666666</v>
      </c>
      <c r="M67" s="408"/>
    </row>
    <row r="68" spans="4:13" x14ac:dyDescent="0.25">
      <c r="D68" s="6">
        <v>22</v>
      </c>
      <c r="E68" s="267">
        <v>0</v>
      </c>
      <c r="F68" s="267">
        <v>0</v>
      </c>
      <c r="G68" s="267">
        <v>0</v>
      </c>
      <c r="J68" s="389">
        <f t="shared" si="3"/>
        <v>0</v>
      </c>
      <c r="K68" s="389">
        <f t="shared" si="4"/>
        <v>0</v>
      </c>
      <c r="L68" s="389">
        <f t="shared" si="5"/>
        <v>0</v>
      </c>
    </row>
    <row r="69" spans="4:13" x14ac:dyDescent="0.25">
      <c r="D69" s="6">
        <v>23</v>
      </c>
      <c r="E69" s="267">
        <v>0</v>
      </c>
      <c r="F69" s="267">
        <v>0</v>
      </c>
      <c r="G69" s="267">
        <v>0</v>
      </c>
      <c r="J69" s="389">
        <f t="shared" si="3"/>
        <v>0</v>
      </c>
      <c r="K69" s="389">
        <f t="shared" si="4"/>
        <v>0</v>
      </c>
      <c r="L69" s="389">
        <f t="shared" si="5"/>
        <v>0</v>
      </c>
    </row>
    <row r="70" spans="4:13" x14ac:dyDescent="0.25">
      <c r="D70" s="6">
        <v>24</v>
      </c>
      <c r="E70" s="267">
        <v>0</v>
      </c>
      <c r="F70" s="267">
        <v>0</v>
      </c>
      <c r="G70" s="267">
        <v>0</v>
      </c>
      <c r="J70" s="389">
        <f t="shared" si="3"/>
        <v>0</v>
      </c>
      <c r="K70" s="389">
        <f t="shared" si="4"/>
        <v>0</v>
      </c>
      <c r="L70" s="389">
        <f t="shared" si="5"/>
        <v>0</v>
      </c>
    </row>
    <row r="71" spans="4:13" x14ac:dyDescent="0.25">
      <c r="D71" s="6"/>
      <c r="E71" s="6" t="s">
        <v>410</v>
      </c>
      <c r="F71" s="6" t="s">
        <v>410</v>
      </c>
      <c r="G71" s="6" t="s">
        <v>410</v>
      </c>
    </row>
    <row r="72" spans="4:13" x14ac:dyDescent="0.25">
      <c r="D72" s="6"/>
      <c r="E72" s="6" t="s">
        <v>411</v>
      </c>
      <c r="F72" s="6" t="s">
        <v>411</v>
      </c>
      <c r="G72" s="6" t="s">
        <v>411</v>
      </c>
    </row>
  </sheetData>
  <mergeCells count="8">
    <mergeCell ref="D11:L11"/>
    <mergeCell ref="D43:L43"/>
    <mergeCell ref="M55:M61"/>
    <mergeCell ref="M62:M64"/>
    <mergeCell ref="M65:M67"/>
    <mergeCell ref="M23:M29"/>
    <mergeCell ref="M30:M32"/>
    <mergeCell ref="M33:M3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AF787-C5D5-499E-BA56-D9609636B828}">
  <sheetPr codeName="Sheet4"/>
  <dimension ref="A1:I22"/>
  <sheetViews>
    <sheetView topLeftCell="A10" workbookViewId="0">
      <selection activeCell="G15" sqref="G15"/>
    </sheetView>
  </sheetViews>
  <sheetFormatPr defaultColWidth="9.140625" defaultRowHeight="15" x14ac:dyDescent="0.25"/>
  <cols>
    <col min="1" max="3" width="9.140625" style="16"/>
    <col min="4" max="4" width="11.28515625" style="16" customWidth="1"/>
    <col min="5" max="5" width="19" style="16" customWidth="1"/>
    <col min="6" max="6" width="15.42578125" style="16" customWidth="1"/>
    <col min="7" max="8" width="12" style="16" bestFit="1" customWidth="1"/>
    <col min="9" max="16384" width="9.140625" style="16"/>
  </cols>
  <sheetData>
    <row r="1" spans="1:9" hidden="1" x14ac:dyDescent="0.25">
      <c r="B1" s="16" t="s">
        <v>59</v>
      </c>
    </row>
    <row r="2" spans="1:9" hidden="1" x14ac:dyDescent="0.25">
      <c r="A2" s="16" t="s">
        <v>60</v>
      </c>
      <c r="B2" s="16">
        <v>0.46971099999999999</v>
      </c>
    </row>
    <row r="3" spans="1:9" hidden="1" x14ac:dyDescent="0.25">
      <c r="A3" s="16" t="s">
        <v>61</v>
      </c>
      <c r="B3" s="16">
        <v>-3.6153100000000001E-3</v>
      </c>
    </row>
    <row r="4" spans="1:9" hidden="1" x14ac:dyDescent="0.25">
      <c r="A4" s="16" t="s">
        <v>62</v>
      </c>
      <c r="B4" s="17">
        <v>3.854E-5</v>
      </c>
    </row>
    <row r="5" spans="1:9" hidden="1" x14ac:dyDescent="0.25">
      <c r="A5" s="16" t="s">
        <v>63</v>
      </c>
      <c r="B5" s="16">
        <v>6.2868500000000001E-3</v>
      </c>
    </row>
    <row r="6" spans="1:9" hidden="1" x14ac:dyDescent="0.25">
      <c r="A6" s="16" t="s">
        <v>64</v>
      </c>
      <c r="B6" s="17">
        <v>5.0769999999999997E-5</v>
      </c>
    </row>
    <row r="7" spans="1:9" hidden="1" x14ac:dyDescent="0.25">
      <c r="A7" s="16" t="s">
        <v>65</v>
      </c>
      <c r="B7" s="16">
        <v>-1.0546E-4</v>
      </c>
    </row>
    <row r="8" spans="1:9" hidden="1" x14ac:dyDescent="0.25"/>
    <row r="9" spans="1:9" hidden="1" x14ac:dyDescent="0.25"/>
    <row r="10" spans="1:9" x14ac:dyDescent="0.25">
      <c r="A10" s="16" t="s">
        <v>66</v>
      </c>
    </row>
    <row r="11" spans="1:9" x14ac:dyDescent="0.25">
      <c r="A11" s="16" t="s">
        <v>67</v>
      </c>
    </row>
    <row r="12" spans="1:9" x14ac:dyDescent="0.25">
      <c r="A12" s="16" t="s">
        <v>68</v>
      </c>
    </row>
    <row r="13" spans="1:9" ht="32.25" customHeight="1" x14ac:dyDescent="0.25">
      <c r="A13" s="18" t="s">
        <v>69</v>
      </c>
      <c r="B13" s="18" t="s">
        <v>70</v>
      </c>
      <c r="C13" s="18" t="s">
        <v>71</v>
      </c>
      <c r="D13" s="18" t="s">
        <v>72</v>
      </c>
      <c r="E13" s="19" t="s">
        <v>73</v>
      </c>
      <c r="F13" s="20" t="s">
        <v>74</v>
      </c>
      <c r="G13" s="18" t="s">
        <v>59</v>
      </c>
      <c r="H13" s="18" t="s">
        <v>75</v>
      </c>
      <c r="I13" s="21"/>
    </row>
    <row r="14" spans="1:9" x14ac:dyDescent="0.25">
      <c r="A14" s="22">
        <v>1</v>
      </c>
      <c r="B14" s="22">
        <v>42</v>
      </c>
      <c r="C14" s="22">
        <v>95</v>
      </c>
      <c r="D14" s="22">
        <v>1.298</v>
      </c>
      <c r="E14" s="23">
        <f>D14*A14</f>
        <v>1.298</v>
      </c>
      <c r="F14" s="24">
        <f>E14/$E$14</f>
        <v>1</v>
      </c>
      <c r="G14" s="25">
        <f>$B$2+$B$3*B14+$B$4*B14^2+$B$5*C14+$B$6*C14^2+$B$7*B14*C14</f>
        <v>1.0205171400000002</v>
      </c>
      <c r="H14" s="26">
        <f>F14/G14</f>
        <v>0.97989534992033533</v>
      </c>
    </row>
    <row r="15" spans="1:9" x14ac:dyDescent="0.25">
      <c r="A15" s="22">
        <v>0.75</v>
      </c>
      <c r="B15" s="22">
        <v>42</v>
      </c>
      <c r="C15" s="22">
        <v>85</v>
      </c>
      <c r="D15" s="22">
        <v>1.0249999999999999</v>
      </c>
      <c r="E15" s="23">
        <f>D15*A15</f>
        <v>0.76874999999999993</v>
      </c>
      <c r="F15" s="24">
        <f>E15/$E$14</f>
        <v>0.5922573189522341</v>
      </c>
      <c r="G15" s="23">
        <f>$B$2+$B$3*B15+$B$4*B15^2+$B$5*C15+$B$6*C15^2+$B$7*B15*C15</f>
        <v>0.91055584000000023</v>
      </c>
      <c r="H15" s="26">
        <f>F15/G15</f>
        <v>0.6504349243998413</v>
      </c>
    </row>
    <row r="16" spans="1:9" x14ac:dyDescent="0.25">
      <c r="A16" s="22">
        <v>0.5</v>
      </c>
      <c r="B16" s="22">
        <v>42</v>
      </c>
      <c r="C16" s="22">
        <v>65</v>
      </c>
      <c r="D16" s="22">
        <v>0.83799999999999997</v>
      </c>
      <c r="E16" s="23">
        <f>D16*A16</f>
        <v>0.41899999999999998</v>
      </c>
      <c r="F16" s="24">
        <f>E16/$E$14</f>
        <v>0.32280431432973805</v>
      </c>
      <c r="G16" s="23">
        <f>$B$2+$B$3*B16+$B$4*B16^2+$B$5*C16+$B$6*C16^2+$B$7*B16*C16</f>
        <v>0.72109524000000003</v>
      </c>
      <c r="H16" s="26">
        <f>F16/G16</f>
        <v>0.447658362478912</v>
      </c>
    </row>
    <row r="17" spans="1:8" x14ac:dyDescent="0.25">
      <c r="A17" s="22">
        <v>0.25</v>
      </c>
      <c r="B17" s="22">
        <v>42</v>
      </c>
      <c r="C17" s="22">
        <v>55</v>
      </c>
      <c r="D17" s="22">
        <v>0.747</v>
      </c>
      <c r="E17" s="23">
        <f>D17*A17</f>
        <v>0.18675</v>
      </c>
      <c r="F17" s="24">
        <f>E17/$E$14</f>
        <v>0.14387519260400616</v>
      </c>
      <c r="G17" s="23">
        <f>$B$2+$B$3*B17+$B$4*B17^2+$B$5*C17+$B$6*C17^2+$B$7*B17*C17</f>
        <v>0.64159594000000009</v>
      </c>
      <c r="H17" s="26">
        <f>F17/G17</f>
        <v>0.22424579651175183</v>
      </c>
    </row>
    <row r="19" spans="1:8" x14ac:dyDescent="0.25">
      <c r="A19" s="16" t="s">
        <v>76</v>
      </c>
    </row>
    <row r="22" spans="1:8" ht="38.25" customHeight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D8053-0F7A-43BA-AD62-C11206A1FF5B}">
  <sheetPr codeName="Sheet5"/>
  <dimension ref="A1:O38"/>
  <sheetViews>
    <sheetView zoomScaleNormal="100" workbookViewId="0">
      <selection activeCell="B20" sqref="B20"/>
    </sheetView>
  </sheetViews>
  <sheetFormatPr defaultColWidth="9.140625" defaultRowHeight="15" x14ac:dyDescent="0.25"/>
  <cols>
    <col min="1" max="1" width="18" style="16" bestFit="1" customWidth="1"/>
    <col min="2" max="2" width="14.28515625" style="16" bestFit="1" customWidth="1"/>
    <col min="3" max="3" width="27.140625" style="16" customWidth="1"/>
    <col min="4" max="7" width="9.140625" style="16"/>
    <col min="8" max="8" width="11.140625" style="16" bestFit="1" customWidth="1"/>
    <col min="9" max="9" width="9.5703125" style="16" bestFit="1" customWidth="1"/>
    <col min="10" max="10" width="14.7109375" style="16" bestFit="1" customWidth="1"/>
    <col min="11" max="11" width="11.85546875" style="16" customWidth="1"/>
    <col min="12" max="12" width="9.140625" style="16"/>
    <col min="13" max="13" width="12" style="16" bestFit="1" customWidth="1"/>
    <col min="14" max="16384" width="9.140625" style="16"/>
  </cols>
  <sheetData>
    <row r="1" spans="1:13" x14ac:dyDescent="0.25">
      <c r="A1" s="16" t="s">
        <v>141</v>
      </c>
    </row>
    <row r="2" spans="1:13" x14ac:dyDescent="0.25">
      <c r="A2" s="16" t="s">
        <v>142</v>
      </c>
    </row>
    <row r="3" spans="1:13" x14ac:dyDescent="0.25">
      <c r="A3" s="16" t="s">
        <v>138</v>
      </c>
    </row>
    <row r="4" spans="1:13" x14ac:dyDescent="0.25">
      <c r="A4" s="44" t="s">
        <v>95</v>
      </c>
      <c r="B4" s="22">
        <v>14.936</v>
      </c>
      <c r="C4" s="45" t="s">
        <v>136</v>
      </c>
    </row>
    <row r="5" spans="1:13" x14ac:dyDescent="0.25">
      <c r="A5" s="44" t="s">
        <v>96</v>
      </c>
      <c r="B5" s="22">
        <v>22</v>
      </c>
      <c r="C5" s="45" t="s">
        <v>137</v>
      </c>
    </row>
    <row r="7" spans="1:13" x14ac:dyDescent="0.25">
      <c r="A7" s="16" t="s">
        <v>97</v>
      </c>
      <c r="B7" s="35">
        <f>12/B4</f>
        <v>0.80342795929298338</v>
      </c>
      <c r="C7" s="16" t="s">
        <v>98</v>
      </c>
    </row>
    <row r="8" spans="1:13" x14ac:dyDescent="0.25">
      <c r="A8" s="16" t="s">
        <v>99</v>
      </c>
      <c r="B8" s="36">
        <f>B7</f>
        <v>0.80342795929298338</v>
      </c>
      <c r="C8" s="16" t="s">
        <v>100</v>
      </c>
    </row>
    <row r="11" spans="1:13" ht="21" x14ac:dyDescent="0.35">
      <c r="A11" s="34" t="s">
        <v>101</v>
      </c>
    </row>
    <row r="12" spans="1:13" x14ac:dyDescent="0.25">
      <c r="A12" s="16" t="s">
        <v>102</v>
      </c>
      <c r="B12" s="16" t="s">
        <v>103</v>
      </c>
      <c r="C12" s="16" t="s">
        <v>104</v>
      </c>
      <c r="D12" s="16" t="s">
        <v>105</v>
      </c>
      <c r="E12" s="16" t="s">
        <v>106</v>
      </c>
      <c r="F12" s="16" t="s">
        <v>107</v>
      </c>
      <c r="G12" s="16" t="s">
        <v>108</v>
      </c>
      <c r="H12" s="16" t="s">
        <v>109</v>
      </c>
      <c r="I12" s="16" t="s">
        <v>110</v>
      </c>
      <c r="J12" s="16" t="s">
        <v>111</v>
      </c>
      <c r="K12" s="16" t="s">
        <v>112</v>
      </c>
      <c r="L12" s="16" t="s">
        <v>113</v>
      </c>
      <c r="M12" s="16" t="s">
        <v>114</v>
      </c>
    </row>
    <row r="13" spans="1:13" x14ac:dyDescent="0.25">
      <c r="A13" s="16" t="s">
        <v>115</v>
      </c>
      <c r="B13" s="16" t="s">
        <v>132</v>
      </c>
      <c r="C13" s="16" t="s">
        <v>133</v>
      </c>
      <c r="D13" s="16">
        <v>-1.063931</v>
      </c>
      <c r="E13" s="16">
        <v>3.065843E-2</v>
      </c>
      <c r="F13" s="16">
        <v>-1.2689999999999999E-4</v>
      </c>
      <c r="G13" s="16">
        <v>1.5421300000000001E-2</v>
      </c>
      <c r="H13" s="16">
        <v>4.973E-5</v>
      </c>
      <c r="I13" s="16">
        <v>-2.096E-4</v>
      </c>
      <c r="J13" s="16">
        <v>67</v>
      </c>
      <c r="K13" s="16">
        <v>95</v>
      </c>
      <c r="L13" s="16">
        <f>D13+E13*J13+F13*J13^2+G13*K13+H13*K13^2+I13*J13*K13</f>
        <v>1.0002624600000005</v>
      </c>
      <c r="M13" s="16">
        <v>1</v>
      </c>
    </row>
    <row r="14" spans="1:13" x14ac:dyDescent="0.25">
      <c r="A14" s="16" t="s">
        <v>116</v>
      </c>
      <c r="B14" s="16" t="s">
        <v>134</v>
      </c>
      <c r="C14" s="16" t="s">
        <v>135</v>
      </c>
      <c r="D14" s="16">
        <v>0.20123007000000001</v>
      </c>
      <c r="E14" s="16">
        <v>-3.1217499999999999E-2</v>
      </c>
      <c r="F14" s="16">
        <v>1.9504979</v>
      </c>
      <c r="G14" s="16">
        <v>-1.1205103999999999</v>
      </c>
      <c r="J14" s="16">
        <v>1</v>
      </c>
      <c r="L14" s="16">
        <f>D14+J14*E14+F14*J14^2+G14*J14^3</f>
        <v>1.0000000700000002</v>
      </c>
      <c r="M14" s="16">
        <v>1</v>
      </c>
    </row>
    <row r="16" spans="1:13" ht="21" x14ac:dyDescent="0.35">
      <c r="A16" s="34" t="s">
        <v>117</v>
      </c>
    </row>
    <row r="17" spans="1:15" ht="15.75" thickBot="1" x14ac:dyDescent="0.3"/>
    <row r="18" spans="1:15" ht="15.75" thickBot="1" x14ac:dyDescent="0.3">
      <c r="A18" s="37" t="s">
        <v>118</v>
      </c>
      <c r="B18" s="38"/>
      <c r="C18" s="39"/>
      <c r="D18" s="37" t="s">
        <v>119</v>
      </c>
      <c r="E18" s="39"/>
      <c r="K18" s="40" t="s">
        <v>120</v>
      </c>
    </row>
    <row r="19" spans="1:15" x14ac:dyDescent="0.25">
      <c r="A19" s="16" t="s">
        <v>69</v>
      </c>
      <c r="B19" s="16" t="s">
        <v>121</v>
      </c>
      <c r="C19" s="16" t="s">
        <v>122</v>
      </c>
      <c r="D19" s="16" t="s">
        <v>123</v>
      </c>
      <c r="E19" s="16" t="s">
        <v>124</v>
      </c>
      <c r="F19" s="16" t="s">
        <v>125</v>
      </c>
      <c r="G19" s="16" t="s">
        <v>126</v>
      </c>
      <c r="H19" s="16" t="s">
        <v>100</v>
      </c>
      <c r="I19" s="16" t="s">
        <v>98</v>
      </c>
      <c r="J19" s="16" t="s">
        <v>96</v>
      </c>
      <c r="K19" s="40" t="s">
        <v>127</v>
      </c>
      <c r="L19" s="16" t="s">
        <v>128</v>
      </c>
      <c r="M19" s="16" t="s">
        <v>129</v>
      </c>
      <c r="N19" s="16" t="s">
        <v>130</v>
      </c>
      <c r="O19" s="16" t="s">
        <v>131</v>
      </c>
    </row>
    <row r="20" spans="1:15" x14ac:dyDescent="0.25">
      <c r="A20" s="16">
        <v>1</v>
      </c>
      <c r="B20" s="16">
        <v>67</v>
      </c>
      <c r="C20" s="16">
        <v>95</v>
      </c>
      <c r="D20" s="353">
        <f>D13+E13*B20+F13*B20^2+G13*C20+H13*C20^2+I13*B20*C20</f>
        <v>1.0002624600000005</v>
      </c>
      <c r="E20" s="353">
        <f>D14+E14*A20+F14*A20^2+G14*A20^3</f>
        <v>1.0000000700000002</v>
      </c>
      <c r="F20" s="353">
        <f>E20*D20</f>
        <v>1.000262530018373</v>
      </c>
      <c r="G20" s="16">
        <f>A20</f>
        <v>1</v>
      </c>
      <c r="H20" s="353">
        <f>F20*B8</f>
        <v>0.80363888324989796</v>
      </c>
      <c r="I20" s="353">
        <f>H20/G20</f>
        <v>0.80363888324989796</v>
      </c>
      <c r="J20" s="353">
        <f>12/I20</f>
        <v>14.932079880794548</v>
      </c>
      <c r="K20" s="41">
        <v>1</v>
      </c>
      <c r="L20" s="353">
        <f>K20*D20</f>
        <v>1.0002624600000005</v>
      </c>
      <c r="M20" s="353">
        <f>L20*B8</f>
        <v>0.80363882699517986</v>
      </c>
      <c r="N20" s="353">
        <f>M20/G20</f>
        <v>0.80363882699517986</v>
      </c>
      <c r="O20" s="353">
        <f>12/N20</f>
        <v>14.932080926040143</v>
      </c>
    </row>
    <row r="21" spans="1:15" x14ac:dyDescent="0.25">
      <c r="A21" s="16">
        <v>0.75</v>
      </c>
      <c r="B21" s="16">
        <v>67</v>
      </c>
      <c r="C21" s="16">
        <v>81.5</v>
      </c>
      <c r="D21" s="353">
        <f>D13+E13*B21+F13*B21^2+G13*C21+H13*C21^2+I13*B21*C21</f>
        <v>0.86316395250000033</v>
      </c>
      <c r="E21" s="353">
        <f>D14+E14*A21+F14*A21^2+G14*A21^3</f>
        <v>0.80225668875</v>
      </c>
      <c r="F21" s="353">
        <f>E21*D21</f>
        <v>0.69247905438101254</v>
      </c>
      <c r="G21" s="16">
        <f t="shared" ref="G21:G23" si="0">A21</f>
        <v>0.75</v>
      </c>
      <c r="H21" s="353">
        <f>F21*B8</f>
        <v>0.55635703351447174</v>
      </c>
      <c r="I21" s="353">
        <f>H21/G21</f>
        <v>0.7418093780192957</v>
      </c>
      <c r="J21" s="353">
        <f>12/I21</f>
        <v>16.176662570701364</v>
      </c>
      <c r="K21" s="41">
        <f>E21*J24/B5</f>
        <v>0.61755786225160425</v>
      </c>
      <c r="L21" s="353">
        <f>K21*D21</f>
        <v>0.53305368527854546</v>
      </c>
      <c r="M21" s="353">
        <f>L21*B8</f>
        <v>0.42827023455694602</v>
      </c>
      <c r="N21" s="353">
        <f>M21/G21</f>
        <v>0.57102697940926139</v>
      </c>
      <c r="O21" s="353">
        <f>12/N21</f>
        <v>21.014768886076514</v>
      </c>
    </row>
    <row r="22" spans="1:15" x14ac:dyDescent="0.25">
      <c r="A22" s="16">
        <v>0.5</v>
      </c>
      <c r="B22" s="16">
        <v>67</v>
      </c>
      <c r="C22" s="16">
        <v>68</v>
      </c>
      <c r="D22" s="353">
        <f>D13+E13*B22+F13*B22^2+G13*C22+H13*C22^2+I13*B22*C22</f>
        <v>0.74419203000000023</v>
      </c>
      <c r="E22" s="353">
        <f>D14+E14*A22+F14*A22^2+G14*A22^3</f>
        <v>0.53318199500000008</v>
      </c>
      <c r="F22" s="353">
        <f>E22*D22</f>
        <v>0.39678979121850005</v>
      </c>
      <c r="G22" s="16">
        <f t="shared" si="0"/>
        <v>0.5</v>
      </c>
      <c r="H22" s="353">
        <f>F22*B8</f>
        <v>0.31879201222696846</v>
      </c>
      <c r="I22" s="353">
        <f>H22/G22</f>
        <v>0.63758402445393692</v>
      </c>
      <c r="J22" s="353">
        <f>12/I22</f>
        <v>18.821048739854294</v>
      </c>
      <c r="K22" s="41">
        <f>E22*J24/B5</f>
        <v>0.41043064849516414</v>
      </c>
      <c r="L22" s="353">
        <f>K22*D22</f>
        <v>0.30543921747783276</v>
      </c>
      <c r="M22" s="353">
        <f>L22*B8</f>
        <v>0.24539840718626091</v>
      </c>
      <c r="N22" s="353">
        <f>M22/G22</f>
        <v>0.49079681437252182</v>
      </c>
      <c r="O22" s="353">
        <f>12/N22</f>
        <v>24.45003644806021</v>
      </c>
    </row>
    <row r="23" spans="1:15" x14ac:dyDescent="0.25">
      <c r="A23" s="16">
        <v>0.25</v>
      </c>
      <c r="B23" s="16">
        <v>67</v>
      </c>
      <c r="C23" s="16">
        <v>65</v>
      </c>
      <c r="D23" s="353">
        <f>D13+E13*B23+F13*B23^2+G13*C23+H13*C23^2+I13*B23*C23</f>
        <v>0.72021546000000014</v>
      </c>
      <c r="E23" s="353">
        <f>D14+E14*A23+F14*A23^2+G14*A23^3</f>
        <v>0.29782383875000001</v>
      </c>
      <c r="F23" s="353">
        <f>E23*D23</f>
        <v>0.21449733302429713</v>
      </c>
      <c r="G23" s="16">
        <f t="shared" si="0"/>
        <v>0.25</v>
      </c>
      <c r="H23" s="353">
        <f>F23*B8</f>
        <v>0.1723331545454985</v>
      </c>
      <c r="I23" s="353">
        <f>H23/G23</f>
        <v>0.68933261818199398</v>
      </c>
      <c r="J23" s="353">
        <f>12/I23</f>
        <v>17.408141851241723</v>
      </c>
      <c r="K23" s="41">
        <f>E23*J24/B5</f>
        <v>0.22925761263840447</v>
      </c>
      <c r="L23" s="353">
        <f>K23*D23</f>
        <v>0.16511487694487031</v>
      </c>
      <c r="M23" s="353">
        <f>L23*B8</f>
        <v>0.13265790863272922</v>
      </c>
      <c r="N23" s="353">
        <f>M23/G23</f>
        <v>0.53063163453091688</v>
      </c>
      <c r="O23" s="353">
        <f>12/N23</f>
        <v>22.614558234184639</v>
      </c>
    </row>
    <row r="24" spans="1:15" x14ac:dyDescent="0.25">
      <c r="H24" s="16" t="s">
        <v>96</v>
      </c>
      <c r="I24" s="42">
        <f>0.02*I20+0.617*I21+0.238*I22+0.125*I23</f>
        <v>0.71168073899568962</v>
      </c>
      <c r="J24" s="42">
        <f>0.02*J20+0.617*J21+0.238*J22+0.125*J23</f>
        <v>16.93506973522917</v>
      </c>
      <c r="O24" s="42">
        <f>0.02*O20+0.617*O21+0.238*O22+0.125*O23</f>
        <v>21.910682475141421</v>
      </c>
    </row>
    <row r="26" spans="1:15" x14ac:dyDescent="0.25">
      <c r="D26" s="16">
        <f t="array" ref="D26:G26">LINEST(K20:K23,A20:A23^{1,2,3})</f>
        <v>1.5931812916509305</v>
      </c>
      <c r="E26" s="16">
        <v>-2.1821385142789511</v>
      </c>
      <c r="F26" s="16">
        <v>1.6642792140389699</v>
      </c>
      <c r="G26" s="16">
        <v>-7.5321991410949307E-2</v>
      </c>
    </row>
    <row r="31" spans="1:15" x14ac:dyDescent="0.25">
      <c r="A31" s="16" t="s">
        <v>140</v>
      </c>
    </row>
    <row r="32" spans="1:15" x14ac:dyDescent="0.25">
      <c r="A32" s="44" t="s">
        <v>105</v>
      </c>
      <c r="B32" s="43">
        <f>G26</f>
        <v>-7.5321991410949307E-2</v>
      </c>
    </row>
    <row r="33" spans="1:2" x14ac:dyDescent="0.25">
      <c r="A33" s="44" t="s">
        <v>106</v>
      </c>
      <c r="B33" s="43">
        <f>F26</f>
        <v>1.6642792140389699</v>
      </c>
    </row>
    <row r="34" spans="1:2" x14ac:dyDescent="0.25">
      <c r="A34" s="44" t="s">
        <v>107</v>
      </c>
      <c r="B34" s="43">
        <f>E26</f>
        <v>-2.1821385142789511</v>
      </c>
    </row>
    <row r="35" spans="1:2" x14ac:dyDescent="0.25">
      <c r="A35" s="44" t="s">
        <v>108</v>
      </c>
      <c r="B35" s="43">
        <f>D26</f>
        <v>1.5931812916509305</v>
      </c>
    </row>
    <row r="37" spans="1:2" x14ac:dyDescent="0.25">
      <c r="A37" s="16" t="s">
        <v>139</v>
      </c>
    </row>
    <row r="38" spans="1:2" x14ac:dyDescent="0.25">
      <c r="A38" s="16" t="s">
        <v>143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D962D-E710-4DC8-AB96-2BD31CE09E65}">
  <dimension ref="A1:O38"/>
  <sheetViews>
    <sheetView zoomScaleNormal="100" workbookViewId="0">
      <selection activeCell="F49" sqref="F49"/>
    </sheetView>
  </sheetViews>
  <sheetFormatPr defaultColWidth="9.140625" defaultRowHeight="15" x14ac:dyDescent="0.25"/>
  <cols>
    <col min="1" max="1" width="20.28515625" style="16" customWidth="1"/>
    <col min="2" max="2" width="26.7109375" style="16" bestFit="1" customWidth="1"/>
    <col min="3" max="3" width="27.140625" style="16" customWidth="1"/>
    <col min="4" max="7" width="9.140625" style="16"/>
    <col min="8" max="8" width="11.140625" style="16" bestFit="1" customWidth="1"/>
    <col min="9" max="9" width="9.5703125" style="16" bestFit="1" customWidth="1"/>
    <col min="10" max="10" width="14.7109375" style="16" bestFit="1" customWidth="1"/>
    <col min="11" max="11" width="11.85546875" style="16" customWidth="1"/>
    <col min="12" max="12" width="9.140625" style="16"/>
    <col min="13" max="14" width="12" style="16" bestFit="1" customWidth="1"/>
    <col min="15" max="16384" width="9.140625" style="16"/>
  </cols>
  <sheetData>
    <row r="1" spans="1:13" x14ac:dyDescent="0.25">
      <c r="A1" s="16" t="s">
        <v>141</v>
      </c>
    </row>
    <row r="2" spans="1:13" x14ac:dyDescent="0.25">
      <c r="A2" s="16" t="s">
        <v>142</v>
      </c>
    </row>
    <row r="3" spans="1:13" x14ac:dyDescent="0.25">
      <c r="A3" s="16" t="s">
        <v>138</v>
      </c>
    </row>
    <row r="4" spans="1:13" x14ac:dyDescent="0.25">
      <c r="A4" s="44" t="s">
        <v>95</v>
      </c>
      <c r="B4" s="22">
        <v>13</v>
      </c>
      <c r="C4" s="45" t="s">
        <v>136</v>
      </c>
    </row>
    <row r="5" spans="1:13" x14ac:dyDescent="0.25">
      <c r="A5" s="44" t="s">
        <v>96</v>
      </c>
      <c r="B5" s="22">
        <v>22</v>
      </c>
      <c r="C5" s="45" t="s">
        <v>137</v>
      </c>
    </row>
    <row r="7" spans="1:13" x14ac:dyDescent="0.25">
      <c r="A7" s="16" t="s">
        <v>97</v>
      </c>
      <c r="B7" s="35">
        <f>12/B4</f>
        <v>0.92307692307692313</v>
      </c>
      <c r="C7" s="16" t="s">
        <v>98</v>
      </c>
    </row>
    <row r="8" spans="1:13" x14ac:dyDescent="0.25">
      <c r="A8" s="16" t="s">
        <v>99</v>
      </c>
      <c r="B8" s="36">
        <f>B7</f>
        <v>0.92307692307692313</v>
      </c>
      <c r="C8" s="16" t="s">
        <v>100</v>
      </c>
    </row>
    <row r="11" spans="1:13" ht="21" x14ac:dyDescent="0.35">
      <c r="A11" s="34" t="s">
        <v>101</v>
      </c>
    </row>
    <row r="12" spans="1:13" x14ac:dyDescent="0.25">
      <c r="A12" s="16" t="s">
        <v>102</v>
      </c>
      <c r="B12" s="16" t="s">
        <v>103</v>
      </c>
      <c r="C12" s="16" t="s">
        <v>104</v>
      </c>
      <c r="D12" s="16" t="s">
        <v>105</v>
      </c>
      <c r="E12" s="16" t="s">
        <v>106</v>
      </c>
      <c r="F12" s="16" t="s">
        <v>107</v>
      </c>
      <c r="G12" s="16" t="s">
        <v>108</v>
      </c>
      <c r="H12" s="16" t="s">
        <v>109</v>
      </c>
      <c r="I12" s="16" t="s">
        <v>110</v>
      </c>
      <c r="J12" s="16" t="s">
        <v>111</v>
      </c>
      <c r="K12" s="16" t="s">
        <v>112</v>
      </c>
      <c r="L12" s="16" t="s">
        <v>113</v>
      </c>
      <c r="M12" s="16" t="s">
        <v>114</v>
      </c>
    </row>
    <row r="13" spans="1:13" x14ac:dyDescent="0.25">
      <c r="A13" s="16" t="s">
        <v>115</v>
      </c>
      <c r="B13" s="16" t="s">
        <v>599</v>
      </c>
      <c r="C13" s="16" t="s">
        <v>133</v>
      </c>
      <c r="D13" s="16">
        <v>1.5657099999999999</v>
      </c>
      <c r="E13" s="16">
        <v>-2.6790000000000001E-2</v>
      </c>
      <c r="F13" s="16">
        <v>2.1000000000000001E-4</v>
      </c>
      <c r="G13" s="16">
        <v>-5.6600000000000001E-3</v>
      </c>
      <c r="H13" s="17">
        <v>6.9999999999999994E-5</v>
      </c>
      <c r="I13" s="17">
        <v>3.0000000000000001E-5</v>
      </c>
      <c r="J13" s="16">
        <v>67</v>
      </c>
      <c r="K13" s="16">
        <v>95</v>
      </c>
      <c r="L13" s="16">
        <f>D13+E13*J13+F13*J13^2+G13*K13+H13*K13^2+I13*J13*K13</f>
        <v>0.99846999999999975</v>
      </c>
      <c r="M13" s="16">
        <v>1</v>
      </c>
    </row>
    <row r="14" spans="1:13" x14ac:dyDescent="0.25">
      <c r="A14" s="16" t="s">
        <v>116</v>
      </c>
      <c r="B14" s="16" t="s">
        <v>600</v>
      </c>
      <c r="C14" s="16" t="s">
        <v>601</v>
      </c>
      <c r="D14" s="16">
        <v>0.1181</v>
      </c>
      <c r="E14" s="16">
        <v>0.39369999999999999</v>
      </c>
      <c r="F14" s="16">
        <v>0.47310000000000002</v>
      </c>
      <c r="G14" s="16">
        <v>0</v>
      </c>
      <c r="J14" s="16">
        <v>1</v>
      </c>
      <c r="L14" s="16">
        <f>D14+J14*E14+F14*J14^2+G14*J14^3</f>
        <v>0.98490000000000011</v>
      </c>
      <c r="M14" s="16">
        <v>1</v>
      </c>
    </row>
    <row r="15" spans="1:13" x14ac:dyDescent="0.25">
      <c r="C15" s="16" t="s">
        <v>135</v>
      </c>
      <c r="D15" s="354">
        <f>B32</f>
        <v>-0.14875417837054739</v>
      </c>
      <c r="E15" s="354">
        <f>B33</f>
        <v>2.0630952632287349</v>
      </c>
      <c r="F15" s="354">
        <f>B34</f>
        <v>-3.4732578841537003</v>
      </c>
      <c r="G15" s="354">
        <f>B35</f>
        <v>2.5589167992955124</v>
      </c>
      <c r="J15" s="16">
        <v>1</v>
      </c>
      <c r="L15" s="16">
        <f>D15+J15*E15+F15*J15^2+G15*J15^3</f>
        <v>0.99999999999999956</v>
      </c>
      <c r="M15" s="16">
        <v>1</v>
      </c>
    </row>
    <row r="16" spans="1:13" ht="21" x14ac:dyDescent="0.35">
      <c r="A16" s="34" t="s">
        <v>117</v>
      </c>
    </row>
    <row r="17" spans="1:15" ht="15.75" thickBot="1" x14ac:dyDescent="0.3"/>
    <row r="18" spans="1:15" ht="15.75" thickBot="1" x14ac:dyDescent="0.3">
      <c r="A18" s="37" t="s">
        <v>118</v>
      </c>
      <c r="B18" s="38"/>
      <c r="C18" s="39"/>
      <c r="D18" s="37" t="s">
        <v>119</v>
      </c>
      <c r="E18" s="39"/>
      <c r="K18" s="40" t="s">
        <v>120</v>
      </c>
    </row>
    <row r="19" spans="1:15" x14ac:dyDescent="0.25">
      <c r="A19" s="16" t="s">
        <v>69</v>
      </c>
      <c r="B19" s="16" t="s">
        <v>121</v>
      </c>
      <c r="C19" s="16" t="s">
        <v>122</v>
      </c>
      <c r="D19" s="16" t="s">
        <v>123</v>
      </c>
      <c r="E19" s="16" t="s">
        <v>124</v>
      </c>
      <c r="F19" s="16" t="s">
        <v>125</v>
      </c>
      <c r="G19" s="16" t="s">
        <v>126</v>
      </c>
      <c r="H19" s="16" t="s">
        <v>100</v>
      </c>
      <c r="I19" s="16" t="s">
        <v>98</v>
      </c>
      <c r="J19" s="16" t="s">
        <v>96</v>
      </c>
      <c r="K19" s="40" t="s">
        <v>127</v>
      </c>
      <c r="L19" s="16" t="s">
        <v>128</v>
      </c>
      <c r="M19" s="16" t="s">
        <v>129</v>
      </c>
      <c r="N19" s="16" t="s">
        <v>130</v>
      </c>
      <c r="O19" s="16" t="s">
        <v>131</v>
      </c>
    </row>
    <row r="20" spans="1:15" x14ac:dyDescent="0.25">
      <c r="A20" s="16">
        <v>1</v>
      </c>
      <c r="B20" s="16">
        <v>67</v>
      </c>
      <c r="C20" s="16">
        <v>95</v>
      </c>
      <c r="D20" s="353">
        <f>D13+E13*B20+F13*B20^2+G13*C20+H13*C20^2+I13*B20*C20</f>
        <v>0.99846999999999975</v>
      </c>
      <c r="E20" s="353">
        <f>D14+E14*A20+F14*A20^2+G14*A20^3</f>
        <v>0.98490000000000011</v>
      </c>
      <c r="F20" s="353">
        <f>E20*D20</f>
        <v>0.98339310299999982</v>
      </c>
      <c r="G20" s="16">
        <f>A20</f>
        <v>1</v>
      </c>
      <c r="H20" s="353">
        <f>F20*B8</f>
        <v>0.90774747969230762</v>
      </c>
      <c r="I20" s="353">
        <f>H20/G20</f>
        <v>0.90774747969230762</v>
      </c>
      <c r="J20" s="353">
        <f>12/I20</f>
        <v>13.219535463835768</v>
      </c>
      <c r="K20" s="41">
        <v>1</v>
      </c>
      <c r="L20" s="353">
        <f>K20*D20</f>
        <v>0.99846999999999975</v>
      </c>
      <c r="M20" s="353">
        <f>L20*B8</f>
        <v>0.92166461538461519</v>
      </c>
      <c r="N20" s="353">
        <f>M20/G20</f>
        <v>0.92166461538461519</v>
      </c>
      <c r="O20" s="353">
        <f>12/N20</f>
        <v>13.01992047833185</v>
      </c>
    </row>
    <row r="21" spans="1:15" x14ac:dyDescent="0.25">
      <c r="A21" s="16">
        <v>0.75</v>
      </c>
      <c r="B21" s="16">
        <v>67</v>
      </c>
      <c r="C21" s="16">
        <v>81.5</v>
      </c>
      <c r="D21" s="353">
        <f>D13+E13*B21+F13*B21^2+G13*C21+H13*C21^2+I13*B21*C21</f>
        <v>0.88095249999999981</v>
      </c>
      <c r="E21" s="353">
        <f>D14+E14*A21+F14*A21^2+G14*A21^3</f>
        <v>0.67949375000000001</v>
      </c>
      <c r="F21" s="353">
        <f>E21*D21</f>
        <v>0.59860171779687488</v>
      </c>
      <c r="G21" s="16">
        <f t="shared" ref="G21:G23" si="0">A21</f>
        <v>0.75</v>
      </c>
      <c r="H21" s="353">
        <f>F21*B8</f>
        <v>0.55255543181249989</v>
      </c>
      <c r="I21" s="353">
        <f>H21/G21</f>
        <v>0.73674057574999985</v>
      </c>
      <c r="J21" s="353">
        <f>12/I21</f>
        <v>16.287958604402959</v>
      </c>
      <c r="K21" s="41">
        <f>E21*J24/B5</f>
        <v>0.5244027339173416</v>
      </c>
      <c r="L21" s="353">
        <f>K21*D21</f>
        <v>0.46197389945131678</v>
      </c>
      <c r="M21" s="353">
        <f>L21*B8</f>
        <v>0.42643744564736935</v>
      </c>
      <c r="N21" s="353">
        <f>M21/G21</f>
        <v>0.56858326086315913</v>
      </c>
      <c r="O21" s="353">
        <f>12/N21</f>
        <v>21.105088429411289</v>
      </c>
    </row>
    <row r="22" spans="1:15" x14ac:dyDescent="0.25">
      <c r="A22" s="16">
        <v>0.5</v>
      </c>
      <c r="B22" s="16">
        <v>67</v>
      </c>
      <c r="C22" s="16">
        <v>68</v>
      </c>
      <c r="D22" s="353">
        <f>D13+E13*B22+F13*B22^2+G13*C22+H13*C22^2+I13*B22*C22</f>
        <v>0.78894999999999982</v>
      </c>
      <c r="E22" s="353">
        <f>D14+E14*A22+F14*A22^2+G14*A22^3</f>
        <v>0.43322500000000003</v>
      </c>
      <c r="F22" s="353">
        <f>E22*D22</f>
        <v>0.34179286374999995</v>
      </c>
      <c r="G22" s="16">
        <f t="shared" si="0"/>
        <v>0.5</v>
      </c>
      <c r="H22" s="353">
        <f>F22*B8</f>
        <v>0.31550110499999995</v>
      </c>
      <c r="I22" s="353">
        <f>H22/G22</f>
        <v>0.6310022099999999</v>
      </c>
      <c r="J22" s="353">
        <f>12/I22</f>
        <v>19.017366040603886</v>
      </c>
      <c r="K22" s="41">
        <f>E22*J24/B5</f>
        <v>0.33434358211733417</v>
      </c>
      <c r="L22" s="353">
        <f>K22*D22</f>
        <v>0.26378036911147074</v>
      </c>
      <c r="M22" s="353">
        <f>L22*B8</f>
        <v>0.24348957148751146</v>
      </c>
      <c r="N22" s="353">
        <f>M22/G22</f>
        <v>0.48697914297502293</v>
      </c>
      <c r="O22" s="353">
        <f>12/N22</f>
        <v>24.641712428771264</v>
      </c>
    </row>
    <row r="23" spans="1:15" x14ac:dyDescent="0.25">
      <c r="A23" s="16">
        <v>0.25</v>
      </c>
      <c r="B23" s="16">
        <v>67</v>
      </c>
      <c r="C23" s="16">
        <v>65</v>
      </c>
      <c r="D23" s="353">
        <f>D13+E13*B23+F13*B23^2+G13*C23+H13*C23^2+I13*B23*C23</f>
        <v>0.77196999999999982</v>
      </c>
      <c r="E23" s="353">
        <f>D14+E14*A23+F14*A23^2+G14*A23^3</f>
        <v>0.24609375</v>
      </c>
      <c r="F23" s="353">
        <f>E23*D23</f>
        <v>0.18997699218749994</v>
      </c>
      <c r="G23" s="16">
        <f t="shared" si="0"/>
        <v>0.25</v>
      </c>
      <c r="H23" s="353">
        <f>F23*B8</f>
        <v>0.17536337740384611</v>
      </c>
      <c r="I23" s="353">
        <f>H23/G23</f>
        <v>0.70145350961538444</v>
      </c>
      <c r="J23" s="353">
        <f>12/I23</f>
        <v>17.107334749212029</v>
      </c>
      <c r="K23" s="41">
        <f>E23*J24/B5</f>
        <v>0.18992409466602272</v>
      </c>
      <c r="L23" s="353">
        <f>K23*D23</f>
        <v>0.14661570335932952</v>
      </c>
      <c r="M23" s="353">
        <f>L23*B8</f>
        <v>0.1353375723316888</v>
      </c>
      <c r="N23" s="353">
        <f>M23/G23</f>
        <v>0.54135028932675522</v>
      </c>
      <c r="O23" s="353">
        <f>12/N23</f>
        <v>22.166793362064475</v>
      </c>
    </row>
    <row r="24" spans="1:15" x14ac:dyDescent="0.25">
      <c r="H24" s="16" t="s">
        <v>96</v>
      </c>
      <c r="I24" s="42">
        <f>0.02*I20+0.617*I21+0.238*I22+0.125*I23</f>
        <v>0.71058409951351909</v>
      </c>
      <c r="J24" s="42">
        <f>0.02*J20+0.617*J21+0.238*J22+0.125*J23</f>
        <v>16.978611129508572</v>
      </c>
      <c r="O24" s="42">
        <f>0.02*O20+0.617*O21+0.238*O22+0.125*O23</f>
        <v>21.917814698819022</v>
      </c>
    </row>
    <row r="26" spans="1:15" x14ac:dyDescent="0.25">
      <c r="D26" s="16">
        <f t="array" ref="D26:G26">LINEST(K20:K23,A20:A23^{1,2,3})</f>
        <v>2.5589167992955124</v>
      </c>
      <c r="E26" s="16">
        <v>-3.4732578841537003</v>
      </c>
      <c r="F26" s="16">
        <v>2.0630952632287349</v>
      </c>
      <c r="G26" s="16">
        <v>-0.14875417837054739</v>
      </c>
    </row>
    <row r="31" spans="1:15" x14ac:dyDescent="0.25">
      <c r="A31" s="16" t="s">
        <v>140</v>
      </c>
    </row>
    <row r="32" spans="1:15" x14ac:dyDescent="0.25">
      <c r="A32" s="44" t="s">
        <v>105</v>
      </c>
      <c r="B32" s="43">
        <f>G26</f>
        <v>-0.14875417837054739</v>
      </c>
    </row>
    <row r="33" spans="1:2" x14ac:dyDescent="0.25">
      <c r="A33" s="44" t="s">
        <v>106</v>
      </c>
      <c r="B33" s="43">
        <f>F26</f>
        <v>2.0630952632287349</v>
      </c>
    </row>
    <row r="34" spans="1:2" x14ac:dyDescent="0.25">
      <c r="A34" s="44" t="s">
        <v>107</v>
      </c>
      <c r="B34" s="43">
        <f>E26</f>
        <v>-3.4732578841537003</v>
      </c>
    </row>
    <row r="35" spans="1:2" x14ac:dyDescent="0.25">
      <c r="A35" s="44" t="s">
        <v>108</v>
      </c>
      <c r="B35" s="43">
        <f>D26</f>
        <v>2.5589167992955124</v>
      </c>
    </row>
    <row r="37" spans="1:2" x14ac:dyDescent="0.25">
      <c r="A37" s="16" t="s">
        <v>602</v>
      </c>
    </row>
    <row r="38" spans="1:2" x14ac:dyDescent="0.25">
      <c r="A38" s="16" t="s">
        <v>143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F088E-C9AB-49E5-8A74-C0465D671A4D}">
  <dimension ref="A1:O38"/>
  <sheetViews>
    <sheetView zoomScaleNormal="100" workbookViewId="0">
      <selection activeCell="J13" sqref="J13"/>
    </sheetView>
  </sheetViews>
  <sheetFormatPr defaultColWidth="9.140625" defaultRowHeight="15" x14ac:dyDescent="0.25"/>
  <cols>
    <col min="1" max="1" width="20.28515625" style="16" customWidth="1"/>
    <col min="2" max="2" width="26.7109375" style="16" bestFit="1" customWidth="1"/>
    <col min="3" max="3" width="27.140625" style="16" customWidth="1"/>
    <col min="4" max="7" width="9.140625" style="16"/>
    <col min="8" max="8" width="11.140625" style="16" bestFit="1" customWidth="1"/>
    <col min="9" max="9" width="9.5703125" style="16" bestFit="1" customWidth="1"/>
    <col min="10" max="10" width="14.7109375" style="16" bestFit="1" customWidth="1"/>
    <col min="11" max="11" width="11.85546875" style="16" customWidth="1"/>
    <col min="12" max="12" width="9.140625" style="16"/>
    <col min="13" max="14" width="12" style="16" bestFit="1" customWidth="1"/>
    <col min="15" max="16384" width="9.140625" style="16"/>
  </cols>
  <sheetData>
    <row r="1" spans="1:13" x14ac:dyDescent="0.25">
      <c r="A1" s="16" t="s">
        <v>141</v>
      </c>
    </row>
    <row r="2" spans="1:13" x14ac:dyDescent="0.25">
      <c r="A2" s="16" t="s">
        <v>142</v>
      </c>
    </row>
    <row r="3" spans="1:13" x14ac:dyDescent="0.25">
      <c r="A3" s="16" t="s">
        <v>138</v>
      </c>
    </row>
    <row r="4" spans="1:13" x14ac:dyDescent="0.25">
      <c r="A4" s="44" t="s">
        <v>95</v>
      </c>
      <c r="B4" s="22">
        <v>13</v>
      </c>
      <c r="C4" s="45" t="s">
        <v>136</v>
      </c>
    </row>
    <row r="5" spans="1:13" x14ac:dyDescent="0.25">
      <c r="A5" s="44" t="s">
        <v>96</v>
      </c>
      <c r="B5" s="22">
        <v>22</v>
      </c>
      <c r="C5" s="45" t="s">
        <v>137</v>
      </c>
    </row>
    <row r="7" spans="1:13" x14ac:dyDescent="0.25">
      <c r="A7" s="16" t="s">
        <v>97</v>
      </c>
      <c r="B7" s="35">
        <f>12/B4</f>
        <v>0.92307692307692313</v>
      </c>
      <c r="C7" s="16" t="s">
        <v>98</v>
      </c>
    </row>
    <row r="8" spans="1:13" x14ac:dyDescent="0.25">
      <c r="A8" s="16" t="s">
        <v>99</v>
      </c>
      <c r="B8" s="36">
        <f>B7</f>
        <v>0.92307692307692313</v>
      </c>
      <c r="C8" s="16" t="s">
        <v>100</v>
      </c>
    </row>
    <row r="11" spans="1:13" ht="21" x14ac:dyDescent="0.35">
      <c r="A11" s="34" t="s">
        <v>101</v>
      </c>
    </row>
    <row r="12" spans="1:13" x14ac:dyDescent="0.25">
      <c r="A12" s="16" t="s">
        <v>102</v>
      </c>
      <c r="B12" s="16" t="s">
        <v>103</v>
      </c>
      <c r="C12" s="16" t="s">
        <v>104</v>
      </c>
      <c r="D12" s="16" t="s">
        <v>105</v>
      </c>
      <c r="E12" s="16" t="s">
        <v>106</v>
      </c>
      <c r="F12" s="16" t="s">
        <v>107</v>
      </c>
      <c r="G12" s="16" t="s">
        <v>108</v>
      </c>
      <c r="H12" s="16" t="s">
        <v>109</v>
      </c>
      <c r="I12" s="16" t="s">
        <v>110</v>
      </c>
      <c r="J12" s="16" t="s">
        <v>111</v>
      </c>
      <c r="K12" s="16" t="s">
        <v>112</v>
      </c>
      <c r="L12" s="16" t="s">
        <v>113</v>
      </c>
      <c r="M12" s="16" t="s">
        <v>114</v>
      </c>
    </row>
    <row r="13" spans="1:13" x14ac:dyDescent="0.25">
      <c r="A13" s="16" t="s">
        <v>115</v>
      </c>
      <c r="B13" s="16" t="s">
        <v>603</v>
      </c>
      <c r="C13" s="16" t="s">
        <v>133</v>
      </c>
      <c r="D13" s="16">
        <v>-1.5190650000000001</v>
      </c>
      <c r="E13" s="16">
        <v>6.83E-2</v>
      </c>
      <c r="F13" s="16">
        <v>-5.3450000000000004E-4</v>
      </c>
      <c r="G13" s="16">
        <v>-1.7149999999999999E-2</v>
      </c>
      <c r="H13" s="17">
        <v>1.2970000000000001E-4</v>
      </c>
      <c r="I13" s="17">
        <v>1.1900000000000001E-4</v>
      </c>
      <c r="J13" s="16">
        <v>67</v>
      </c>
      <c r="K13" s="16">
        <v>95</v>
      </c>
      <c r="L13" s="16">
        <f>D13+E13*J13+F13*J13^2+G13*K13+H13*K13^2+I13*J13*K13</f>
        <v>0.95639199999999991</v>
      </c>
      <c r="M13" s="16">
        <v>1</v>
      </c>
    </row>
    <row r="14" spans="1:13" x14ac:dyDescent="0.25">
      <c r="A14" s="16" t="s">
        <v>116</v>
      </c>
      <c r="B14" s="16" t="s">
        <v>604</v>
      </c>
      <c r="C14" s="16" t="s">
        <v>601</v>
      </c>
      <c r="D14" s="16">
        <v>7.6754000000000003E-2</v>
      </c>
      <c r="E14" s="16">
        <v>0.32713999999999999</v>
      </c>
      <c r="F14" s="16">
        <v>0.59599999999999997</v>
      </c>
      <c r="G14" s="16">
        <v>0</v>
      </c>
      <c r="J14" s="16">
        <v>1</v>
      </c>
      <c r="L14" s="16">
        <f>D14+J14*E14+F14*J14^2+G14*J14^3</f>
        <v>0.99989399999999995</v>
      </c>
      <c r="M14" s="16">
        <v>1</v>
      </c>
    </row>
    <row r="15" spans="1:13" x14ac:dyDescent="0.25">
      <c r="C15" s="16" t="s">
        <v>135</v>
      </c>
      <c r="D15" s="354">
        <f>B32</f>
        <v>6.7731529123901568E-2</v>
      </c>
      <c r="E15" s="354">
        <f>B33</f>
        <v>0.38593405536221659</v>
      </c>
      <c r="F15" s="354">
        <f>B34</f>
        <v>0.45687502755485321</v>
      </c>
      <c r="G15" s="354">
        <f>B35</f>
        <v>8.9459387959028455E-2</v>
      </c>
      <c r="J15" s="16">
        <v>1</v>
      </c>
      <c r="L15" s="16">
        <f>D15+J15*E15+F15*J15^2+G15*J15^3</f>
        <v>0.99999999999999978</v>
      </c>
      <c r="M15" s="16">
        <v>1</v>
      </c>
    </row>
    <row r="16" spans="1:13" ht="21" x14ac:dyDescent="0.35">
      <c r="A16" s="34" t="s">
        <v>117</v>
      </c>
    </row>
    <row r="17" spans="1:15" ht="15.75" thickBot="1" x14ac:dyDescent="0.3"/>
    <row r="18" spans="1:15" ht="15.75" thickBot="1" x14ac:dyDescent="0.3">
      <c r="A18" s="37" t="s">
        <v>118</v>
      </c>
      <c r="B18" s="38"/>
      <c r="C18" s="39"/>
      <c r="D18" s="37" t="s">
        <v>119</v>
      </c>
      <c r="E18" s="39"/>
      <c r="K18" s="40" t="s">
        <v>120</v>
      </c>
    </row>
    <row r="19" spans="1:15" x14ac:dyDescent="0.25">
      <c r="A19" s="16" t="s">
        <v>69</v>
      </c>
      <c r="B19" s="16" t="s">
        <v>121</v>
      </c>
      <c r="C19" s="16" t="s">
        <v>122</v>
      </c>
      <c r="D19" s="16" t="s">
        <v>123</v>
      </c>
      <c r="E19" s="16" t="s">
        <v>124</v>
      </c>
      <c r="F19" s="16" t="s">
        <v>125</v>
      </c>
      <c r="G19" s="16" t="s">
        <v>126</v>
      </c>
      <c r="H19" s="16" t="s">
        <v>100</v>
      </c>
      <c r="I19" s="16" t="s">
        <v>98</v>
      </c>
      <c r="J19" s="16" t="s">
        <v>96</v>
      </c>
      <c r="K19" s="40" t="s">
        <v>127</v>
      </c>
      <c r="L19" s="16" t="s">
        <v>128</v>
      </c>
      <c r="M19" s="16" t="s">
        <v>129</v>
      </c>
      <c r="N19" s="16" t="s">
        <v>130</v>
      </c>
      <c r="O19" s="16" t="s">
        <v>131</v>
      </c>
    </row>
    <row r="20" spans="1:15" x14ac:dyDescent="0.25">
      <c r="A20" s="16">
        <v>1</v>
      </c>
      <c r="B20" s="16">
        <v>67</v>
      </c>
      <c r="C20" s="16">
        <v>95</v>
      </c>
      <c r="D20" s="353">
        <f>D13+E13*B20+F13*B20^2+G13*C20+H13*C20^2+I13*B20*C20</f>
        <v>0.95639199999999991</v>
      </c>
      <c r="E20" s="353">
        <f>D14+E14*A20+F14*A20^2+G14*A20^3</f>
        <v>0.99989399999999995</v>
      </c>
      <c r="F20" s="353">
        <f>E20*D20</f>
        <v>0.95629062244799989</v>
      </c>
      <c r="G20" s="16">
        <f>A20</f>
        <v>1</v>
      </c>
      <c r="H20" s="353">
        <f>F20*B8</f>
        <v>0.88272980533661538</v>
      </c>
      <c r="I20" s="353">
        <f>H20/G20</f>
        <v>0.88272980533661538</v>
      </c>
      <c r="J20" s="353">
        <f>12/I20</f>
        <v>13.594193747002782</v>
      </c>
      <c r="K20" s="41">
        <v>1</v>
      </c>
      <c r="L20" s="353">
        <f>K20*D20</f>
        <v>0.95639199999999991</v>
      </c>
      <c r="M20" s="353">
        <f>L20*B8</f>
        <v>0.88282338461538457</v>
      </c>
      <c r="N20" s="353">
        <f>M20/G20</f>
        <v>0.88282338461538457</v>
      </c>
      <c r="O20" s="353">
        <f>12/N20</f>
        <v>13.592752762465601</v>
      </c>
    </row>
    <row r="21" spans="1:15" x14ac:dyDescent="0.25">
      <c r="A21" s="16">
        <v>0.75</v>
      </c>
      <c r="B21" s="16">
        <v>67</v>
      </c>
      <c r="C21" s="16">
        <v>81.5</v>
      </c>
      <c r="D21" s="353">
        <f>D13+E13*B21+F13*B21^2+G13*C21+H13*C21^2+I13*B21*C21</f>
        <v>0.77123882499999996</v>
      </c>
      <c r="E21" s="353">
        <f>D14+E14*A21+F14*A21^2+G14*A21^3</f>
        <v>0.65735900000000003</v>
      </c>
      <c r="F21" s="353">
        <f>E21*D21</f>
        <v>0.50698078276317504</v>
      </c>
      <c r="G21" s="16">
        <f t="shared" ref="G21:G23" si="0">A21</f>
        <v>0.75</v>
      </c>
      <c r="H21" s="353">
        <f>F21*B8</f>
        <v>0.46798226101216162</v>
      </c>
      <c r="I21" s="353">
        <f>H21/G21</f>
        <v>0.62397634801621549</v>
      </c>
      <c r="J21" s="353">
        <f>12/I21</f>
        <v>19.231498178017723</v>
      </c>
      <c r="K21" s="41">
        <f>E21*J24/B5</f>
        <v>0.65191495294038415</v>
      </c>
      <c r="L21" s="353">
        <f>K21*D21</f>
        <v>0.5027821223056721</v>
      </c>
      <c r="M21" s="353">
        <f>L21*B8</f>
        <v>0.46410657443600506</v>
      </c>
      <c r="N21" s="353">
        <f>M21/G21</f>
        <v>0.61880876591467338</v>
      </c>
      <c r="O21" s="353">
        <f>12/N21</f>
        <v>19.392097625285842</v>
      </c>
    </row>
    <row r="22" spans="1:15" x14ac:dyDescent="0.25">
      <c r="A22" s="16">
        <v>0.5</v>
      </c>
      <c r="B22" s="16">
        <v>67</v>
      </c>
      <c r="C22" s="16">
        <v>68</v>
      </c>
      <c r="D22" s="353">
        <f>D13+E13*B22+F13*B22^2+G13*C22+H13*C22^2+I13*B22*C22</f>
        <v>0.6333612999999999</v>
      </c>
      <c r="E22" s="353">
        <f>D14+E14*A22+F14*A22^2+G14*A22^3</f>
        <v>0.389324</v>
      </c>
      <c r="F22" s="353">
        <f>E22*D22</f>
        <v>0.24658275476119995</v>
      </c>
      <c r="G22" s="16">
        <f t="shared" si="0"/>
        <v>0.5</v>
      </c>
      <c r="H22" s="353">
        <f>F22*B8</f>
        <v>0.22761485054879996</v>
      </c>
      <c r="I22" s="353">
        <f>H22/G22</f>
        <v>0.45522970109759991</v>
      </c>
      <c r="J22" s="353">
        <f>12/I22</f>
        <v>26.360318694204082</v>
      </c>
      <c r="K22" s="41">
        <f>E22*J24/B5</f>
        <v>0.3860997371886018</v>
      </c>
      <c r="L22" s="353">
        <f>K22*D22</f>
        <v>0.24454063147543115</v>
      </c>
      <c r="M22" s="353">
        <f>L22*B8</f>
        <v>0.22572981366962877</v>
      </c>
      <c r="N22" s="353">
        <f>M22/G22</f>
        <v>0.45145962733925754</v>
      </c>
      <c r="O22" s="353">
        <f>12/N22</f>
        <v>26.580449885903931</v>
      </c>
    </row>
    <row r="23" spans="1:15" x14ac:dyDescent="0.25">
      <c r="A23" s="16">
        <v>0.25</v>
      </c>
      <c r="B23" s="16">
        <v>67</v>
      </c>
      <c r="C23" s="16">
        <v>65</v>
      </c>
      <c r="D23" s="353">
        <f>D13+E13*B23+F13*B23^2+G13*C23+H13*C23^2+I13*B23*C23</f>
        <v>0.60914199999999985</v>
      </c>
      <c r="E23" s="353">
        <f>D14+E14*A23+F14*A23^2+G14*A23^3</f>
        <v>0.19578899999999999</v>
      </c>
      <c r="F23" s="353">
        <f>E23*D23</f>
        <v>0.11926330303799997</v>
      </c>
      <c r="G23" s="16">
        <f t="shared" si="0"/>
        <v>0.25</v>
      </c>
      <c r="H23" s="353">
        <f>F23*B8</f>
        <v>0.11008920280430767</v>
      </c>
      <c r="I23" s="353">
        <f>H23/G23</f>
        <v>0.44035681121723069</v>
      </c>
      <c r="J23" s="353">
        <f>12/I23</f>
        <v>27.250628795384586</v>
      </c>
      <c r="K23" s="41">
        <f>E23*J24/B5</f>
        <v>0.19416753512349391</v>
      </c>
      <c r="L23" s="353">
        <f>K23*D23</f>
        <v>0.1182756006801953</v>
      </c>
      <c r="M23" s="353">
        <f>L23*B8</f>
        <v>0.10917747755094952</v>
      </c>
      <c r="N23" s="353">
        <f>M23/G23</f>
        <v>0.43670991020379807</v>
      </c>
      <c r="O23" s="353">
        <f>12/N23</f>
        <v>27.478194837392167</v>
      </c>
    </row>
    <row r="24" spans="1:15" x14ac:dyDescent="0.25">
      <c r="H24" s="16" t="s">
        <v>96</v>
      </c>
      <c r="I24" s="42">
        <f>0.02*I20+0.617*I21+0.238*I22+0.125*I23</f>
        <v>0.56603727309611984</v>
      </c>
      <c r="J24" s="42">
        <f>0.02*J20+0.617*J21+0.238*J22+0.125*J23</f>
        <v>21.817802699420636</v>
      </c>
      <c r="O24" s="42">
        <f>0.02*O20+0.617*O21+0.238*O22+0.125*O23</f>
        <v>21.997700717569828</v>
      </c>
    </row>
    <row r="26" spans="1:15" x14ac:dyDescent="0.25">
      <c r="D26" s="16">
        <f t="array" ref="D26:G26">LINEST(K20:K23,A20:A23^{1,2,3})</f>
        <v>8.9459387959028455E-2</v>
      </c>
      <c r="E26" s="16">
        <v>0.45687502755485321</v>
      </c>
      <c r="F26" s="16">
        <v>0.38593405536221659</v>
      </c>
      <c r="G26" s="16">
        <v>6.7731529123901568E-2</v>
      </c>
    </row>
    <row r="31" spans="1:15" x14ac:dyDescent="0.25">
      <c r="A31" s="16" t="s">
        <v>140</v>
      </c>
    </row>
    <row r="32" spans="1:15" x14ac:dyDescent="0.25">
      <c r="A32" s="44" t="s">
        <v>105</v>
      </c>
      <c r="B32" s="43">
        <f>G26</f>
        <v>6.7731529123901568E-2</v>
      </c>
    </row>
    <row r="33" spans="1:2" x14ac:dyDescent="0.25">
      <c r="A33" s="44" t="s">
        <v>106</v>
      </c>
      <c r="B33" s="43">
        <f>F26</f>
        <v>0.38593405536221659</v>
      </c>
    </row>
    <row r="34" spans="1:2" x14ac:dyDescent="0.25">
      <c r="A34" s="44" t="s">
        <v>107</v>
      </c>
      <c r="B34" s="43">
        <f>E26</f>
        <v>0.45687502755485321</v>
      </c>
    </row>
    <row r="35" spans="1:2" x14ac:dyDescent="0.25">
      <c r="A35" s="44" t="s">
        <v>108</v>
      </c>
      <c r="B35" s="43">
        <f>D26</f>
        <v>8.9459387959028455E-2</v>
      </c>
    </row>
    <row r="37" spans="1:2" x14ac:dyDescent="0.25">
      <c r="A37" s="16" t="s">
        <v>602</v>
      </c>
    </row>
    <row r="38" spans="1:2" x14ac:dyDescent="0.25">
      <c r="A38" s="16" t="s">
        <v>143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4FB61-13F6-4FAA-8FDA-70FACFF38A75}">
  <sheetPr codeName="Sheet1"/>
  <dimension ref="B1:CD79"/>
  <sheetViews>
    <sheetView zoomScaleNormal="100" workbookViewId="0">
      <selection activeCell="O1" sqref="O1:CD1048576"/>
    </sheetView>
  </sheetViews>
  <sheetFormatPr defaultColWidth="9.140625" defaultRowHeight="12.75" x14ac:dyDescent="0.2"/>
  <cols>
    <col min="1" max="1" width="2.85546875" style="1" customWidth="1"/>
    <col min="2" max="2" width="25" style="1" customWidth="1"/>
    <col min="3" max="3" width="25.7109375" style="1" customWidth="1"/>
    <col min="4" max="4" width="10.42578125" style="1" customWidth="1"/>
    <col min="5" max="5" width="15" style="1" bestFit="1" customWidth="1"/>
    <col min="6" max="6" width="12.7109375" style="1" customWidth="1"/>
    <col min="7" max="7" width="11" style="1" customWidth="1"/>
    <col min="8" max="8" width="13.5703125" style="1" customWidth="1"/>
    <col min="9" max="9" width="11.85546875" style="1" customWidth="1"/>
    <col min="10" max="10" width="11" style="1" customWidth="1"/>
    <col min="11" max="11" width="4.5703125" style="1" customWidth="1"/>
    <col min="12" max="12" width="14.28515625" style="1" customWidth="1"/>
    <col min="13" max="13" width="15.42578125" style="1" customWidth="1"/>
    <col min="14" max="14" width="17.7109375" style="1" customWidth="1"/>
    <col min="15" max="15" width="26.42578125" style="1" hidden="1" customWidth="1"/>
    <col min="16" max="59" width="9.140625" style="1" hidden="1" customWidth="1"/>
    <col min="60" max="60" width="36.7109375" style="1" hidden="1" customWidth="1"/>
    <col min="61" max="64" width="9.140625" style="1" hidden="1" customWidth="1"/>
    <col min="65" max="65" width="12.28515625" style="1" hidden="1" customWidth="1"/>
    <col min="66" max="79" width="9.140625" style="1" hidden="1" customWidth="1"/>
    <col min="80" max="80" width="30.140625" style="1" hidden="1" customWidth="1"/>
    <col min="81" max="81" width="13.5703125" style="1" hidden="1" customWidth="1"/>
    <col min="82" max="82" width="9.140625" style="1" hidden="1" customWidth="1"/>
    <col min="83" max="16384" width="9.140625" style="1"/>
  </cols>
  <sheetData>
    <row r="1" spans="2:82" ht="18" thickBot="1" x14ac:dyDescent="0.35">
      <c r="B1" s="8" t="s">
        <v>0</v>
      </c>
      <c r="C1" s="8"/>
      <c r="D1" s="8"/>
      <c r="E1" s="8"/>
      <c r="F1" s="8"/>
      <c r="G1" s="8"/>
    </row>
    <row r="2" spans="2:82" ht="15.75" thickTop="1" x14ac:dyDescent="0.25">
      <c r="O2" s="410" t="s">
        <v>144</v>
      </c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A2" s="410"/>
      <c r="AB2" s="410"/>
      <c r="AC2" s="410"/>
      <c r="AD2" s="410"/>
      <c r="AE2" s="410"/>
      <c r="AF2" s="410"/>
      <c r="AG2" s="410"/>
      <c r="AH2" s="410"/>
      <c r="AI2" s="410"/>
      <c r="AJ2" s="410"/>
      <c r="AK2" s="410"/>
      <c r="AL2" s="410"/>
      <c r="AM2" s="410"/>
      <c r="AN2" s="410"/>
      <c r="AO2" s="410"/>
      <c r="AP2" s="410"/>
      <c r="AQ2" s="410"/>
      <c r="AR2" s="410"/>
      <c r="AS2" s="410"/>
      <c r="AT2" s="410"/>
      <c r="AU2" s="410"/>
      <c r="AV2" s="410"/>
      <c r="AW2" s="410"/>
      <c r="AX2" s="410"/>
      <c r="AY2" s="410"/>
      <c r="AZ2" s="410"/>
      <c r="BA2" s="410"/>
      <c r="BB2" s="410"/>
      <c r="BC2"/>
      <c r="BD2"/>
      <c r="BE2"/>
      <c r="BF2"/>
      <c r="BG2"/>
      <c r="BH2" t="s">
        <v>145</v>
      </c>
      <c r="BI2">
        <f>D10</f>
        <v>140</v>
      </c>
      <c r="BJ2" t="s">
        <v>110</v>
      </c>
      <c r="BK2"/>
      <c r="BL2"/>
      <c r="BM2"/>
      <c r="BN2"/>
      <c r="BO2"/>
      <c r="BP2"/>
      <c r="BQ2"/>
      <c r="BR2"/>
      <c r="BS2"/>
      <c r="BT2" t="s">
        <v>146</v>
      </c>
      <c r="BU2"/>
      <c r="BV2"/>
      <c r="BW2"/>
      <c r="BX2"/>
      <c r="BY2"/>
    </row>
    <row r="3" spans="2:82" ht="15.75" thickBot="1" x14ac:dyDescent="0.3">
      <c r="B3" s="32" t="s">
        <v>80</v>
      </c>
      <c r="O3" s="46"/>
      <c r="P3" s="46"/>
      <c r="Q3" s="46"/>
      <c r="R3" s="46"/>
      <c r="S3" s="46"/>
      <c r="T3" s="46"/>
      <c r="U3" s="46"/>
      <c r="V3" s="46"/>
      <c r="W3" s="46"/>
      <c r="X3" s="46"/>
      <c r="Y3" s="47" t="s">
        <v>147</v>
      </c>
      <c r="Z3" s="46"/>
      <c r="AA3" s="46"/>
      <c r="AB3" s="46"/>
      <c r="AC3" s="47" t="s">
        <v>2</v>
      </c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8"/>
      <c r="BB3" s="48"/>
      <c r="BC3"/>
      <c r="BD3"/>
      <c r="BE3"/>
      <c r="BF3"/>
      <c r="BG3"/>
      <c r="BH3" t="s">
        <v>148</v>
      </c>
      <c r="BI3">
        <v>57</v>
      </c>
      <c r="BJ3" t="s">
        <v>110</v>
      </c>
      <c r="BK3"/>
      <c r="BL3"/>
      <c r="BM3"/>
      <c r="BN3"/>
      <c r="BO3"/>
      <c r="BP3"/>
      <c r="BQ3"/>
      <c r="BR3"/>
      <c r="BS3"/>
      <c r="BT3" t="s">
        <v>149</v>
      </c>
      <c r="BU3" t="s">
        <v>150</v>
      </c>
      <c r="BV3" t="s">
        <v>151</v>
      </c>
      <c r="BW3"/>
      <c r="BX3" t="s">
        <v>152</v>
      </c>
      <c r="BY3" t="s">
        <v>150</v>
      </c>
      <c r="BZ3" t="s">
        <v>151</v>
      </c>
      <c r="CB3" s="66"/>
      <c r="CC3" s="67" t="s">
        <v>216</v>
      </c>
    </row>
    <row r="4" spans="2:82" ht="15" x14ac:dyDescent="0.25">
      <c r="H4" s="28"/>
      <c r="O4" s="411" t="s">
        <v>153</v>
      </c>
      <c r="P4" s="412"/>
      <c r="Q4" s="412"/>
      <c r="R4" s="412"/>
      <c r="S4" s="412"/>
      <c r="T4" s="412"/>
      <c r="U4" s="412"/>
      <c r="V4" s="412"/>
      <c r="W4" s="412"/>
      <c r="X4" s="413"/>
      <c r="Y4" s="414">
        <f>D6</f>
        <v>0</v>
      </c>
      <c r="Z4" s="415"/>
      <c r="AA4" s="415"/>
      <c r="AB4" s="416"/>
      <c r="AC4" s="417">
        <f>E6</f>
        <v>0</v>
      </c>
      <c r="AD4" s="418"/>
      <c r="AE4" s="418"/>
      <c r="AF4" s="419"/>
      <c r="AG4" s="46"/>
      <c r="AH4" s="49" t="s">
        <v>154</v>
      </c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1"/>
      <c r="BB4" s="51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>
        <v>1</v>
      </c>
      <c r="BU4">
        <v>0.01</v>
      </c>
      <c r="BV4">
        <v>0.05</v>
      </c>
      <c r="BW4"/>
      <c r="BX4"/>
      <c r="BY4">
        <v>0.01</v>
      </c>
      <c r="BZ4" s="1">
        <v>0.05</v>
      </c>
      <c r="CB4" s="68" t="s">
        <v>217</v>
      </c>
      <c r="CC4" s="69">
        <v>11</v>
      </c>
      <c r="CD4" s="1" t="s">
        <v>226</v>
      </c>
    </row>
    <row r="5" spans="2:82" ht="15" x14ac:dyDescent="0.25">
      <c r="D5" s="30" t="s">
        <v>1</v>
      </c>
      <c r="E5" s="30" t="s">
        <v>2</v>
      </c>
      <c r="O5" s="411" t="s">
        <v>155</v>
      </c>
      <c r="P5" s="412"/>
      <c r="Q5" s="412"/>
      <c r="R5" s="412"/>
      <c r="S5" s="412"/>
      <c r="T5" s="412"/>
      <c r="U5" s="412"/>
      <c r="V5" s="412"/>
      <c r="W5" s="412"/>
      <c r="X5" s="413"/>
      <c r="Y5" s="414">
        <f>D7</f>
        <v>0</v>
      </c>
      <c r="Z5" s="415"/>
      <c r="AA5" s="415"/>
      <c r="AB5" s="416"/>
      <c r="AC5" s="417">
        <f>E7</f>
        <v>0</v>
      </c>
      <c r="AD5" s="418"/>
      <c r="AE5" s="418"/>
      <c r="AF5" s="419"/>
      <c r="AG5" s="46"/>
      <c r="AH5" s="420" t="s">
        <v>156</v>
      </c>
      <c r="AI5" s="420"/>
      <c r="AJ5" s="420"/>
      <c r="AK5" s="420"/>
      <c r="AL5" s="420"/>
      <c r="AM5" s="420"/>
      <c r="AN5" s="420"/>
      <c r="AO5" s="420"/>
      <c r="AP5" s="420"/>
      <c r="AQ5" s="420"/>
      <c r="AR5" s="420"/>
      <c r="AS5" s="420"/>
      <c r="AT5" s="420"/>
      <c r="AU5" s="420"/>
      <c r="AV5" s="420"/>
      <c r="AW5" s="421">
        <v>180</v>
      </c>
      <c r="AX5" s="422"/>
      <c r="AY5" s="422"/>
      <c r="AZ5" s="422"/>
      <c r="BA5" s="422"/>
      <c r="BB5" s="423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>
        <v>2</v>
      </c>
      <c r="BU5">
        <v>0.01</v>
      </c>
      <c r="BV5">
        <v>0.05</v>
      </c>
      <c r="BW5"/>
      <c r="BX5"/>
      <c r="BY5">
        <v>0.01</v>
      </c>
      <c r="BZ5" s="1">
        <v>0.05</v>
      </c>
      <c r="CB5" s="68" t="s">
        <v>218</v>
      </c>
      <c r="CC5" s="70">
        <v>50</v>
      </c>
    </row>
    <row r="6" spans="2:82" ht="15" x14ac:dyDescent="0.25">
      <c r="B6" s="30" t="s">
        <v>78</v>
      </c>
      <c r="C6" s="30"/>
      <c r="D6" s="27">
        <v>0</v>
      </c>
      <c r="E6" s="27">
        <v>0</v>
      </c>
      <c r="F6" s="30" t="s">
        <v>81</v>
      </c>
      <c r="G6" s="31"/>
      <c r="H6" s="30"/>
      <c r="I6" s="31"/>
      <c r="O6" s="411" t="s">
        <v>157</v>
      </c>
      <c r="P6" s="412"/>
      <c r="Q6" s="412"/>
      <c r="R6" s="412"/>
      <c r="S6" s="412"/>
      <c r="T6" s="412"/>
      <c r="U6" s="412"/>
      <c r="V6" s="412"/>
      <c r="W6" s="412"/>
      <c r="X6" s="413"/>
      <c r="Y6" s="417">
        <f>D8</f>
        <v>0</v>
      </c>
      <c r="Z6" s="418"/>
      <c r="AA6" s="418"/>
      <c r="AB6" s="419"/>
      <c r="AC6" s="417">
        <f>E8</f>
        <v>0</v>
      </c>
      <c r="AD6" s="418"/>
      <c r="AE6" s="418"/>
      <c r="AF6" s="419"/>
      <c r="AG6" s="46"/>
      <c r="AH6" s="420" t="s">
        <v>158</v>
      </c>
      <c r="AI6" s="420"/>
      <c r="AJ6" s="420"/>
      <c r="AK6" s="420"/>
      <c r="AL6" s="420"/>
      <c r="AM6" s="420"/>
      <c r="AN6" s="420"/>
      <c r="AO6" s="420"/>
      <c r="AP6" s="420"/>
      <c r="AQ6" s="420"/>
      <c r="AR6" s="420"/>
      <c r="AS6" s="420"/>
      <c r="AT6" s="420"/>
      <c r="AU6" s="420"/>
      <c r="AV6" s="420"/>
      <c r="AW6" s="421">
        <v>30</v>
      </c>
      <c r="AX6" s="422"/>
      <c r="AY6" s="422"/>
      <c r="AZ6" s="422"/>
      <c r="BA6" s="422"/>
      <c r="BB6" s="423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>
        <v>3</v>
      </c>
      <c r="BU6">
        <v>0.01</v>
      </c>
      <c r="BV6">
        <v>0.05</v>
      </c>
      <c r="BW6"/>
      <c r="BX6"/>
      <c r="BY6">
        <v>0.01</v>
      </c>
      <c r="BZ6" s="1">
        <v>0.05</v>
      </c>
      <c r="CB6" s="68" t="s">
        <v>219</v>
      </c>
      <c r="CC6" s="70">
        <v>50</v>
      </c>
    </row>
    <row r="7" spans="2:82" ht="15" x14ac:dyDescent="0.25">
      <c r="B7" s="30" t="s">
        <v>79</v>
      </c>
      <c r="C7" s="30"/>
      <c r="D7" s="2">
        <v>0</v>
      </c>
      <c r="E7" s="27">
        <v>0</v>
      </c>
      <c r="F7" s="31" t="s">
        <v>81</v>
      </c>
      <c r="G7" s="31"/>
      <c r="H7" s="31"/>
      <c r="I7" s="31"/>
      <c r="O7" s="411" t="s">
        <v>159</v>
      </c>
      <c r="P7" s="412"/>
      <c r="Q7" s="412"/>
      <c r="R7" s="412"/>
      <c r="S7" s="412"/>
      <c r="T7" s="412"/>
      <c r="U7" s="412"/>
      <c r="V7" s="412"/>
      <c r="W7" s="412"/>
      <c r="X7" s="413"/>
      <c r="Y7" s="421">
        <f>D9</f>
        <v>0</v>
      </c>
      <c r="Z7" s="422"/>
      <c r="AA7" s="422"/>
      <c r="AB7" s="423"/>
      <c r="AC7" s="425">
        <f>E9</f>
        <v>0</v>
      </c>
      <c r="AD7" s="426"/>
      <c r="AE7" s="426"/>
      <c r="AF7" s="427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8"/>
      <c r="BB7" s="48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>
        <v>4</v>
      </c>
      <c r="BU7">
        <v>0.01</v>
      </c>
      <c r="BV7">
        <v>0.05</v>
      </c>
      <c r="BW7"/>
      <c r="BX7"/>
      <c r="BY7">
        <v>0.01</v>
      </c>
      <c r="BZ7" s="1">
        <v>0.05</v>
      </c>
      <c r="CB7" s="68" t="s">
        <v>220</v>
      </c>
      <c r="CC7" s="70">
        <v>50</v>
      </c>
    </row>
    <row r="8" spans="2:82" ht="13.5" customHeight="1" x14ac:dyDescent="0.25">
      <c r="B8" s="30" t="s">
        <v>157</v>
      </c>
      <c r="C8" s="30"/>
      <c r="D8" s="2">
        <v>0</v>
      </c>
      <c r="E8" s="27">
        <v>0</v>
      </c>
      <c r="F8" s="31" t="s">
        <v>81</v>
      </c>
      <c r="G8" s="31"/>
      <c r="H8" s="31"/>
      <c r="I8" s="31"/>
      <c r="O8" s="411" t="s">
        <v>160</v>
      </c>
      <c r="P8" s="412"/>
      <c r="Q8" s="412"/>
      <c r="R8" s="412"/>
      <c r="S8" s="412"/>
      <c r="T8" s="412"/>
      <c r="U8" s="412"/>
      <c r="V8" s="412"/>
      <c r="W8" s="412"/>
      <c r="X8" s="413"/>
      <c r="Y8" s="414">
        <f>(Y4-Y6-Y7)/2</f>
        <v>0</v>
      </c>
      <c r="Z8" s="415"/>
      <c r="AA8" s="415"/>
      <c r="AB8" s="416"/>
      <c r="AC8" s="414">
        <f>(AC4-AC6-AC7)/2</f>
        <v>0</v>
      </c>
      <c r="AD8" s="415"/>
      <c r="AE8" s="415"/>
      <c r="AF8" s="41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8"/>
      <c r="BB8" s="4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>
        <v>5</v>
      </c>
      <c r="BU8">
        <v>0.01</v>
      </c>
      <c r="BV8">
        <v>0.05</v>
      </c>
      <c r="BW8"/>
      <c r="BX8"/>
      <c r="BY8">
        <v>0.01</v>
      </c>
      <c r="BZ8" s="1">
        <v>0.05</v>
      </c>
      <c r="CB8" s="68" t="s">
        <v>221</v>
      </c>
      <c r="CC8" s="70">
        <v>50</v>
      </c>
    </row>
    <row r="9" spans="2:82" ht="13.5" customHeight="1" x14ac:dyDescent="0.25">
      <c r="B9" s="30" t="s">
        <v>159</v>
      </c>
      <c r="C9" s="30"/>
      <c r="D9" s="2">
        <v>0</v>
      </c>
      <c r="E9" s="27">
        <v>0</v>
      </c>
      <c r="F9" s="31" t="s">
        <v>81</v>
      </c>
      <c r="G9" s="31"/>
      <c r="H9" s="31"/>
      <c r="I9" s="31"/>
      <c r="O9" s="411" t="s">
        <v>161</v>
      </c>
      <c r="P9" s="412"/>
      <c r="Q9" s="412"/>
      <c r="R9" s="412"/>
      <c r="S9" s="412"/>
      <c r="T9" s="412"/>
      <c r="U9" s="412"/>
      <c r="V9" s="412"/>
      <c r="W9" s="412"/>
      <c r="X9" s="413"/>
      <c r="Y9" s="414">
        <f>(Y4-Y6-Y7)/2</f>
        <v>0</v>
      </c>
      <c r="Z9" s="415"/>
      <c r="AA9" s="415"/>
      <c r="AB9" s="416"/>
      <c r="AC9" s="414">
        <f>(AC4-AC6-AC7)/2</f>
        <v>0</v>
      </c>
      <c r="AD9" s="415"/>
      <c r="AE9" s="415"/>
      <c r="AF9" s="416"/>
      <c r="AG9" s="46"/>
      <c r="AH9" s="46"/>
      <c r="AI9" s="52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8"/>
      <c r="BB9" s="48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>
        <v>6</v>
      </c>
      <c r="BU9">
        <v>0.01</v>
      </c>
      <c r="BV9">
        <v>0.05</v>
      </c>
      <c r="BW9"/>
      <c r="BX9"/>
      <c r="BY9">
        <v>0.01</v>
      </c>
      <c r="BZ9" s="1">
        <v>0.05</v>
      </c>
      <c r="CB9" s="68" t="s">
        <v>222</v>
      </c>
      <c r="CC9" s="70">
        <v>50</v>
      </c>
    </row>
    <row r="10" spans="2:82" ht="13.5" customHeight="1" x14ac:dyDescent="0.25">
      <c r="B10" s="31" t="s">
        <v>83</v>
      </c>
      <c r="C10" s="31"/>
      <c r="D10" s="3">
        <v>140</v>
      </c>
      <c r="E10" s="65"/>
      <c r="F10" s="31" t="s">
        <v>82</v>
      </c>
      <c r="G10" s="31"/>
      <c r="H10" s="31"/>
      <c r="I10" s="31"/>
      <c r="O10" s="411" t="s">
        <v>162</v>
      </c>
      <c r="P10" s="412"/>
      <c r="Q10" s="412"/>
      <c r="R10" s="412"/>
      <c r="S10" s="412"/>
      <c r="T10" s="412"/>
      <c r="U10" s="412"/>
      <c r="V10" s="412"/>
      <c r="W10" s="412"/>
      <c r="X10" s="413"/>
      <c r="Y10" s="424">
        <f>(Y4-Y6-Y7)/2</f>
        <v>0</v>
      </c>
      <c r="Z10" s="424"/>
      <c r="AA10" s="424"/>
      <c r="AB10" s="424"/>
      <c r="AC10" s="424">
        <f>(AC4-AC6-AC7)/2</f>
        <v>0</v>
      </c>
      <c r="AD10" s="424"/>
      <c r="AE10" s="424"/>
      <c r="AF10" s="424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8"/>
      <c r="BB10" s="48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>
        <v>7</v>
      </c>
      <c r="BU10">
        <v>0.1</v>
      </c>
      <c r="BV10">
        <v>0.05</v>
      </c>
      <c r="BW10"/>
      <c r="BX10"/>
      <c r="BY10">
        <v>0.01</v>
      </c>
      <c r="BZ10" s="1">
        <v>0.05</v>
      </c>
      <c r="CB10" s="68" t="s">
        <v>223</v>
      </c>
      <c r="CC10" s="70">
        <v>52</v>
      </c>
    </row>
    <row r="11" spans="2:82" ht="13.5" customHeight="1" x14ac:dyDescent="0.25">
      <c r="B11" s="31" t="s">
        <v>84</v>
      </c>
      <c r="C11" s="31"/>
      <c r="D11" s="3">
        <f>D6</f>
        <v>0</v>
      </c>
      <c r="E11" s="3">
        <f>E6</f>
        <v>0</v>
      </c>
      <c r="F11" s="31" t="s">
        <v>85</v>
      </c>
      <c r="G11" s="31"/>
      <c r="H11" s="31"/>
      <c r="I11" s="31"/>
      <c r="O11" s="428"/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428"/>
      <c r="AA11" s="428"/>
      <c r="AB11" s="428"/>
      <c r="AC11" s="428"/>
      <c r="AD11" s="428"/>
      <c r="AE11" s="428"/>
      <c r="AF11" s="428"/>
      <c r="AG11" s="428"/>
      <c r="AH11" s="428"/>
      <c r="AI11" s="428"/>
      <c r="AJ11" s="428"/>
      <c r="AK11" s="428"/>
      <c r="AL11" s="428"/>
      <c r="AM11" s="428"/>
      <c r="AN11" s="428"/>
      <c r="AO11" s="428"/>
      <c r="AP11" s="428"/>
      <c r="AQ11" s="428"/>
      <c r="AR11" s="428"/>
      <c r="AS11" s="428"/>
      <c r="AT11" s="428"/>
      <c r="AU11" s="428"/>
      <c r="AV11" s="428"/>
      <c r="AW11" s="428"/>
      <c r="AX11" s="428"/>
      <c r="AY11" s="428"/>
      <c r="AZ11" s="428"/>
      <c r="BA11" s="48"/>
      <c r="BB11" s="48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>
        <v>8</v>
      </c>
      <c r="BU11">
        <v>0.3</v>
      </c>
      <c r="BV11">
        <v>0.05</v>
      </c>
      <c r="BW11"/>
      <c r="BX11"/>
      <c r="BY11">
        <v>0.01</v>
      </c>
      <c r="BZ11" s="1">
        <v>0.05</v>
      </c>
      <c r="CB11" s="71" t="s">
        <v>224</v>
      </c>
      <c r="CC11" s="72">
        <v>52</v>
      </c>
    </row>
    <row r="12" spans="2:82" ht="13.5" customHeight="1" x14ac:dyDescent="0.25">
      <c r="B12" s="31" t="s">
        <v>414</v>
      </c>
      <c r="C12" s="31"/>
      <c r="D12" s="3">
        <v>0</v>
      </c>
      <c r="E12" s="65"/>
      <c r="F12" s="31"/>
      <c r="G12" s="31"/>
      <c r="H12" s="31"/>
      <c r="I12" s="31"/>
      <c r="O12" s="410" t="s">
        <v>163</v>
      </c>
      <c r="P12" s="410"/>
      <c r="Q12" s="410"/>
      <c r="R12" s="410"/>
      <c r="S12" s="410"/>
      <c r="T12" s="410"/>
      <c r="U12" s="410"/>
      <c r="V12" s="410"/>
      <c r="W12" s="410"/>
      <c r="X12" s="410"/>
      <c r="Y12" s="410"/>
      <c r="Z12" s="410"/>
      <c r="AA12" s="410"/>
      <c r="AB12" s="410"/>
      <c r="AC12" s="410"/>
      <c r="AD12" s="410"/>
      <c r="AE12" s="410"/>
      <c r="AF12" s="410"/>
      <c r="AG12" s="410"/>
      <c r="AH12" s="410"/>
      <c r="AI12" s="410"/>
      <c r="AJ12" s="410"/>
      <c r="AK12" s="410"/>
      <c r="AL12" s="410"/>
      <c r="AM12" s="410"/>
      <c r="AN12" s="410"/>
      <c r="AO12" s="410"/>
      <c r="AP12" s="410"/>
      <c r="AQ12" s="410"/>
      <c r="AR12" s="410"/>
      <c r="AS12" s="410"/>
      <c r="AT12" s="410"/>
      <c r="AU12" s="410"/>
      <c r="AV12" s="410"/>
      <c r="AW12" s="410"/>
      <c r="AX12" s="410"/>
      <c r="AY12" s="410"/>
      <c r="AZ12" s="410"/>
      <c r="BA12" s="410"/>
      <c r="BB12" s="410"/>
      <c r="BC12"/>
      <c r="BD12" t="s">
        <v>164</v>
      </c>
      <c r="BE12"/>
      <c r="BF12"/>
      <c r="BG12"/>
      <c r="BH12" s="53" t="s">
        <v>165</v>
      </c>
      <c r="BI12"/>
      <c r="BJ12"/>
      <c r="BK12"/>
      <c r="BL12"/>
      <c r="BM12"/>
      <c r="BN12"/>
      <c r="BO12"/>
      <c r="BP12"/>
      <c r="BQ12"/>
      <c r="BR12"/>
      <c r="BS12"/>
      <c r="BT12">
        <v>9</v>
      </c>
      <c r="BU12">
        <v>0.3</v>
      </c>
      <c r="BV12">
        <v>0.05</v>
      </c>
      <c r="BW12"/>
      <c r="BX12"/>
      <c r="BY12">
        <v>0.01</v>
      </c>
      <c r="BZ12" s="1">
        <v>0.05</v>
      </c>
      <c r="CB12" s="73" t="s">
        <v>225</v>
      </c>
      <c r="CC12" s="74">
        <f>SUM(CC4:CC11)</f>
        <v>365</v>
      </c>
    </row>
    <row r="13" spans="2:82" ht="13.5" customHeight="1" x14ac:dyDescent="0.25"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429" t="s">
        <v>166</v>
      </c>
      <c r="Z13" s="430"/>
      <c r="AA13" s="430"/>
      <c r="AB13" s="430"/>
      <c r="AC13" s="430"/>
      <c r="AD13" s="430"/>
      <c r="AE13" s="430"/>
      <c r="AF13" s="430"/>
      <c r="AG13" s="430"/>
      <c r="AH13" s="430"/>
      <c r="AI13" s="430"/>
      <c r="AJ13" s="430"/>
      <c r="AK13" s="430"/>
      <c r="AL13" s="430"/>
      <c r="AM13" s="431"/>
      <c r="AN13" s="432" t="s">
        <v>4</v>
      </c>
      <c r="AO13" s="432"/>
      <c r="AP13" s="432"/>
      <c r="AQ13" s="432"/>
      <c r="AR13" s="432"/>
      <c r="AS13" s="432"/>
      <c r="AT13" s="432"/>
      <c r="AU13" s="432"/>
      <c r="AV13" s="432"/>
      <c r="AW13" s="432"/>
      <c r="AX13" s="432"/>
      <c r="AY13" s="432"/>
      <c r="AZ13" s="432"/>
      <c r="BA13" s="432"/>
      <c r="BB13" s="432"/>
      <c r="BC13"/>
      <c r="BD13" t="s">
        <v>167</v>
      </c>
      <c r="BE13"/>
      <c r="BF13" t="s">
        <v>168</v>
      </c>
      <c r="BG13"/>
      <c r="BH13"/>
      <c r="BI13"/>
      <c r="BJ13"/>
      <c r="BK13"/>
      <c r="BL13" t="s">
        <v>169</v>
      </c>
      <c r="BM13"/>
      <c r="BN13"/>
      <c r="BO13"/>
      <c r="BP13"/>
      <c r="BQ13"/>
      <c r="BR13"/>
      <c r="BS13"/>
      <c r="BT13">
        <v>10</v>
      </c>
      <c r="BU13">
        <v>0.2</v>
      </c>
      <c r="BV13">
        <v>0.05</v>
      </c>
      <c r="BW13"/>
      <c r="BX13"/>
      <c r="BY13">
        <v>0.01</v>
      </c>
      <c r="BZ13" s="1">
        <v>0.05</v>
      </c>
    </row>
    <row r="14" spans="2:82" ht="13.5" customHeight="1" thickBot="1" x14ac:dyDescent="0.3">
      <c r="B14" s="32" t="s">
        <v>86</v>
      </c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433" t="s">
        <v>3</v>
      </c>
      <c r="Z14" s="434"/>
      <c r="AA14" s="435"/>
      <c r="AB14" s="433" t="s">
        <v>170</v>
      </c>
      <c r="AC14" s="434"/>
      <c r="AD14" s="435"/>
      <c r="AE14" s="433" t="s">
        <v>171</v>
      </c>
      <c r="AF14" s="434"/>
      <c r="AG14" s="435"/>
      <c r="AH14" s="439" t="s">
        <v>172</v>
      </c>
      <c r="AI14" s="440"/>
      <c r="AJ14" s="441"/>
      <c r="AK14" s="439" t="s">
        <v>173</v>
      </c>
      <c r="AL14" s="440"/>
      <c r="AM14" s="441"/>
      <c r="AN14" s="439" t="s">
        <v>3</v>
      </c>
      <c r="AO14" s="440"/>
      <c r="AP14" s="441"/>
      <c r="AQ14" s="439" t="s">
        <v>170</v>
      </c>
      <c r="AR14" s="440"/>
      <c r="AS14" s="441"/>
      <c r="AT14" s="439" t="s">
        <v>171</v>
      </c>
      <c r="AU14" s="440"/>
      <c r="AV14" s="441"/>
      <c r="AW14" s="439" t="s">
        <v>172</v>
      </c>
      <c r="AX14" s="440"/>
      <c r="AY14" s="441"/>
      <c r="AZ14" s="439" t="s">
        <v>173</v>
      </c>
      <c r="BA14" s="440"/>
      <c r="BB14" s="441"/>
      <c r="BC14"/>
      <c r="BD14"/>
      <c r="BE14"/>
      <c r="BF14"/>
      <c r="BG14"/>
      <c r="BH14"/>
      <c r="BI14" t="s">
        <v>174</v>
      </c>
      <c r="BJ14"/>
      <c r="BK14"/>
      <c r="BL14" t="s">
        <v>167</v>
      </c>
      <c r="BM14"/>
      <c r="BN14" t="s">
        <v>168</v>
      </c>
      <c r="BO14" t="s">
        <v>175</v>
      </c>
      <c r="BP14"/>
      <c r="BQ14"/>
      <c r="BR14"/>
      <c r="BS14"/>
      <c r="BT14">
        <v>11</v>
      </c>
      <c r="BU14">
        <v>0.2</v>
      </c>
      <c r="BV14">
        <v>0.05</v>
      </c>
      <c r="BW14"/>
      <c r="BX14"/>
      <c r="BY14">
        <v>0.01</v>
      </c>
      <c r="BZ14" s="1">
        <v>0.05</v>
      </c>
      <c r="CB14" s="1" t="s">
        <v>149</v>
      </c>
      <c r="CC14" s="75">
        <f>SUM(CC5:CC9)</f>
        <v>250</v>
      </c>
    </row>
    <row r="15" spans="2:82" ht="13.5" customHeight="1" x14ac:dyDescent="0.25">
      <c r="B15" s="28" t="s">
        <v>87</v>
      </c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436"/>
      <c r="Z15" s="437"/>
      <c r="AA15" s="438"/>
      <c r="AB15" s="436"/>
      <c r="AC15" s="437"/>
      <c r="AD15" s="438"/>
      <c r="AE15" s="436"/>
      <c r="AF15" s="437"/>
      <c r="AG15" s="438"/>
      <c r="AH15" s="442"/>
      <c r="AI15" s="443"/>
      <c r="AJ15" s="444"/>
      <c r="AK15" s="442"/>
      <c r="AL15" s="443"/>
      <c r="AM15" s="444"/>
      <c r="AN15" s="442"/>
      <c r="AO15" s="443"/>
      <c r="AP15" s="444"/>
      <c r="AQ15" s="442"/>
      <c r="AR15" s="443"/>
      <c r="AS15" s="444"/>
      <c r="AT15" s="442"/>
      <c r="AU15" s="443"/>
      <c r="AV15" s="444"/>
      <c r="AW15" s="442"/>
      <c r="AX15" s="443"/>
      <c r="AY15" s="444"/>
      <c r="AZ15" s="442"/>
      <c r="BA15" s="443"/>
      <c r="BB15" s="444"/>
      <c r="BC15"/>
      <c r="BD15" t="s">
        <v>176</v>
      </c>
      <c r="BE15" t="s">
        <v>2</v>
      </c>
      <c r="BF15"/>
      <c r="BG15"/>
      <c r="BH15"/>
      <c r="BI15" t="s">
        <v>110</v>
      </c>
      <c r="BJ15" t="s">
        <v>177</v>
      </c>
      <c r="BK15" t="s">
        <v>178</v>
      </c>
      <c r="BL15" t="s">
        <v>176</v>
      </c>
      <c r="BM15" t="s">
        <v>2</v>
      </c>
      <c r="BN15"/>
      <c r="BO15"/>
      <c r="BP15"/>
      <c r="BQ15"/>
      <c r="BR15"/>
      <c r="BS15"/>
      <c r="BT15">
        <v>12</v>
      </c>
      <c r="BU15">
        <v>0.5</v>
      </c>
      <c r="BV15">
        <v>0.4</v>
      </c>
      <c r="BW15"/>
      <c r="BX15"/>
      <c r="BY15">
        <v>0.01</v>
      </c>
      <c r="BZ15" s="1">
        <v>0.05</v>
      </c>
      <c r="CB15" s="1" t="s">
        <v>152</v>
      </c>
      <c r="CC15" s="75">
        <f>CC11+CC10+CC4</f>
        <v>115</v>
      </c>
    </row>
    <row r="16" spans="2:82" ht="13.5" customHeight="1" x14ac:dyDescent="0.25">
      <c r="D16" s="289" t="s">
        <v>90</v>
      </c>
      <c r="E16" s="289"/>
      <c r="F16" s="289"/>
      <c r="O16" s="445" t="s">
        <v>179</v>
      </c>
      <c r="P16" s="411" t="s">
        <v>180</v>
      </c>
      <c r="Q16" s="412"/>
      <c r="R16" s="412"/>
      <c r="S16" s="412"/>
      <c r="T16" s="412"/>
      <c r="U16" s="412"/>
      <c r="V16" s="412"/>
      <c r="W16" s="412"/>
      <c r="X16" s="413"/>
      <c r="Y16" s="446">
        <v>6</v>
      </c>
      <c r="Z16" s="447"/>
      <c r="AA16" s="448"/>
      <c r="AB16" s="449">
        <v>0.25</v>
      </c>
      <c r="AC16" s="450"/>
      <c r="AD16" s="451"/>
      <c r="AE16" s="452">
        <v>1</v>
      </c>
      <c r="AF16" s="453"/>
      <c r="AG16" s="454"/>
      <c r="AH16" s="455">
        <f>Y16*AB16*AE16*Y4</f>
        <v>0</v>
      </c>
      <c r="AI16" s="456"/>
      <c r="AJ16" s="457"/>
      <c r="AK16" s="452">
        <f>Y16*AB16*AE16*AC4</f>
        <v>0</v>
      </c>
      <c r="AL16" s="453"/>
      <c r="AM16" s="454"/>
      <c r="AN16" s="446">
        <v>6</v>
      </c>
      <c r="AO16" s="447"/>
      <c r="AP16" s="448"/>
      <c r="AQ16" s="458">
        <v>0.04</v>
      </c>
      <c r="AR16" s="459"/>
      <c r="AS16" s="460"/>
      <c r="AT16" s="452">
        <v>1</v>
      </c>
      <c r="AU16" s="453"/>
      <c r="AV16" s="454"/>
      <c r="AW16" s="455">
        <f>AN16*AQ16*AT16*Y4</f>
        <v>0</v>
      </c>
      <c r="AX16" s="456"/>
      <c r="AY16" s="457"/>
      <c r="AZ16" s="452">
        <f>AN16*AQ16*AT16*AC4</f>
        <v>0</v>
      </c>
      <c r="BA16" s="453"/>
      <c r="BB16" s="454"/>
      <c r="BC16"/>
      <c r="BD16" s="55">
        <f>AW16</f>
        <v>0</v>
      </c>
      <c r="BE16" s="55">
        <f>AZ16</f>
        <v>0</v>
      </c>
      <c r="BF16"/>
      <c r="BG16"/>
      <c r="BH16" t="str">
        <f>P16</f>
        <v>Conventional Lavatory (Student) (cycle)</v>
      </c>
      <c r="BI16">
        <v>95</v>
      </c>
      <c r="BJ16" s="56">
        <f>(BI16-$BI$3)/($BI$2-$BI$3)*BK16</f>
        <v>0.45783132530120479</v>
      </c>
      <c r="BK16">
        <v>1</v>
      </c>
      <c r="BL16" s="57">
        <f t="shared" ref="BL16:BL19" si="0">BJ16*BD16</f>
        <v>0</v>
      </c>
      <c r="BM16" s="57">
        <f>BJ16*BE16</f>
        <v>0</v>
      </c>
      <c r="BN16" s="58">
        <f>BL16*$AW$5+BM16*$AW$6</f>
        <v>0</v>
      </c>
      <c r="BO16" s="57">
        <f>BN16/$BU$30/60</f>
        <v>0</v>
      </c>
      <c r="BP16" s="57"/>
      <c r="BQ16" s="57"/>
      <c r="BR16"/>
      <c r="BS16"/>
      <c r="BT16">
        <v>13</v>
      </c>
      <c r="BU16">
        <v>0.5</v>
      </c>
      <c r="BV16">
        <v>0.4</v>
      </c>
      <c r="BW16"/>
      <c r="BX16"/>
      <c r="BY16">
        <v>0.01</v>
      </c>
      <c r="BZ16" s="1">
        <v>0.05</v>
      </c>
    </row>
    <row r="17" spans="2:78" ht="13.5" customHeight="1" x14ac:dyDescent="0.25">
      <c r="B17" s="31" t="s">
        <v>23</v>
      </c>
      <c r="C17" s="31" t="s">
        <v>89</v>
      </c>
      <c r="D17" s="30" t="s">
        <v>56</v>
      </c>
      <c r="E17" s="30" t="s">
        <v>77</v>
      </c>
      <c r="F17" s="30" t="s">
        <v>5</v>
      </c>
      <c r="O17" s="445"/>
      <c r="P17" s="411" t="s">
        <v>181</v>
      </c>
      <c r="Q17" s="412"/>
      <c r="R17" s="412"/>
      <c r="S17" s="412"/>
      <c r="T17" s="412"/>
      <c r="U17" s="412"/>
      <c r="V17" s="412"/>
      <c r="W17" s="412"/>
      <c r="X17" s="413"/>
      <c r="Y17" s="446">
        <v>6</v>
      </c>
      <c r="Z17" s="447"/>
      <c r="AA17" s="448"/>
      <c r="AB17" s="449">
        <v>0.25</v>
      </c>
      <c r="AC17" s="450"/>
      <c r="AD17" s="451"/>
      <c r="AE17" s="452">
        <v>1</v>
      </c>
      <c r="AF17" s="453"/>
      <c r="AG17" s="454"/>
      <c r="AH17" s="455">
        <f>Y17*AB17*AE17*Y5</f>
        <v>0</v>
      </c>
      <c r="AI17" s="456"/>
      <c r="AJ17" s="457"/>
      <c r="AK17" s="452">
        <f>Y17*AB17*AE17*AC5</f>
        <v>0</v>
      </c>
      <c r="AL17" s="453"/>
      <c r="AM17" s="454"/>
      <c r="AN17" s="446">
        <v>6</v>
      </c>
      <c r="AO17" s="447"/>
      <c r="AP17" s="448"/>
      <c r="AQ17" s="458">
        <v>0.04</v>
      </c>
      <c r="AR17" s="459"/>
      <c r="AS17" s="460"/>
      <c r="AT17" s="452">
        <v>1</v>
      </c>
      <c r="AU17" s="453"/>
      <c r="AV17" s="454"/>
      <c r="AW17" s="455">
        <f>AN17*AQ17*AT17*Y5</f>
        <v>0</v>
      </c>
      <c r="AX17" s="456"/>
      <c r="AY17" s="457"/>
      <c r="AZ17" s="455">
        <f>AN17*AQ17*AT17*AC5</f>
        <v>0</v>
      </c>
      <c r="BA17" s="456"/>
      <c r="BB17" s="457"/>
      <c r="BC17"/>
      <c r="BD17" s="55">
        <f>AW17</f>
        <v>0</v>
      </c>
      <c r="BE17" s="55">
        <f>AZ17</f>
        <v>0</v>
      </c>
      <c r="BF17"/>
      <c r="BG17"/>
      <c r="BH17" t="str">
        <f>P17</f>
        <v>Conventional Lavatory (Adult) (cycle)</v>
      </c>
      <c r="BI17">
        <v>95</v>
      </c>
      <c r="BJ17" s="56">
        <f>(BI17-$BI$3)/($BI$2-$BI$3)*BK17</f>
        <v>0.45783132530120479</v>
      </c>
      <c r="BK17">
        <v>1</v>
      </c>
      <c r="BL17" s="57">
        <f t="shared" si="0"/>
        <v>0</v>
      </c>
      <c r="BM17" s="57">
        <f>BJ17*BE17</f>
        <v>0</v>
      </c>
      <c r="BN17" s="58">
        <f>BL17*$AW$5+BM17*$AW$6</f>
        <v>0</v>
      </c>
      <c r="BO17" s="57">
        <f>BN17/$BU$30/60</f>
        <v>0</v>
      </c>
      <c r="BP17" s="57"/>
      <c r="BQ17" s="57"/>
      <c r="BR17"/>
      <c r="BS17"/>
      <c r="BT17">
        <v>14</v>
      </c>
      <c r="BU17">
        <v>0.3</v>
      </c>
      <c r="BV17">
        <v>0.4</v>
      </c>
      <c r="BW17"/>
      <c r="BX17"/>
      <c r="BY17">
        <v>0.01</v>
      </c>
      <c r="BZ17" s="1">
        <v>0.05</v>
      </c>
    </row>
    <row r="18" spans="2:78" ht="13.5" customHeight="1" x14ac:dyDescent="0.25">
      <c r="B18" s="31" t="s">
        <v>88</v>
      </c>
      <c r="C18" s="33" t="s">
        <v>442</v>
      </c>
      <c r="D18" s="29">
        <f>BO22</f>
        <v>0</v>
      </c>
      <c r="E18" s="29">
        <f>D18</f>
        <v>0</v>
      </c>
      <c r="F18" s="29">
        <f>BO37</f>
        <v>0</v>
      </c>
      <c r="O18" s="445"/>
      <c r="P18" s="411" t="s">
        <v>182</v>
      </c>
      <c r="Q18" s="412"/>
      <c r="R18" s="412"/>
      <c r="S18" s="412"/>
      <c r="T18" s="412"/>
      <c r="U18" s="412"/>
      <c r="V18" s="412"/>
      <c r="W18" s="412"/>
      <c r="X18" s="413"/>
      <c r="Y18" s="446">
        <v>0.1</v>
      </c>
      <c r="Z18" s="447"/>
      <c r="AA18" s="448"/>
      <c r="AB18" s="449">
        <v>2.5</v>
      </c>
      <c r="AC18" s="450"/>
      <c r="AD18" s="451"/>
      <c r="AE18" s="452">
        <v>1</v>
      </c>
      <c r="AF18" s="453"/>
      <c r="AG18" s="454"/>
      <c r="AH18" s="455">
        <f>Y18*AB18*AE18*Y5</f>
        <v>0</v>
      </c>
      <c r="AI18" s="456"/>
      <c r="AJ18" s="457"/>
      <c r="AK18" s="452">
        <f>Y18*AB18*AE18*Y5</f>
        <v>0</v>
      </c>
      <c r="AL18" s="453"/>
      <c r="AM18" s="454"/>
      <c r="AN18" s="446">
        <v>0.1</v>
      </c>
      <c r="AO18" s="447"/>
      <c r="AP18" s="448"/>
      <c r="AQ18" s="449">
        <v>1.8</v>
      </c>
      <c r="AR18" s="450"/>
      <c r="AS18" s="451"/>
      <c r="AT18" s="452">
        <v>1</v>
      </c>
      <c r="AU18" s="453"/>
      <c r="AV18" s="454"/>
      <c r="AW18" s="452">
        <f>AN18*AQ18*AT18*Y5</f>
        <v>0</v>
      </c>
      <c r="AX18" s="453"/>
      <c r="AY18" s="454"/>
      <c r="AZ18" s="461">
        <f>AN18*AQ18*AT18*Y5</f>
        <v>0</v>
      </c>
      <c r="BA18" s="462"/>
      <c r="BB18" s="463"/>
      <c r="BC18"/>
      <c r="BD18" s="55">
        <f>AW18</f>
        <v>0</v>
      </c>
      <c r="BE18" s="55">
        <f>AZ18</f>
        <v>0</v>
      </c>
      <c r="BF18"/>
      <c r="BG18"/>
      <c r="BH18" t="str">
        <f>P18</f>
        <v>Shower (gpm, seconds)</v>
      </c>
      <c r="BI18">
        <v>105</v>
      </c>
      <c r="BJ18" s="56">
        <f>(BI18-$BI$3)/($BI$2-$BI$3)*BK18</f>
        <v>0.57831325301204817</v>
      </c>
      <c r="BK18">
        <v>1</v>
      </c>
      <c r="BL18" s="57">
        <f t="shared" si="0"/>
        <v>0</v>
      </c>
      <c r="BM18" s="57">
        <f>BJ18*BE18</f>
        <v>0</v>
      </c>
      <c r="BN18" s="58">
        <f>BL18*$AW$5+BM18*$AW$6</f>
        <v>0</v>
      </c>
      <c r="BO18" s="57">
        <f>BN18/$BU$30/60</f>
        <v>0</v>
      </c>
      <c r="BP18" s="57"/>
      <c r="BQ18" s="57"/>
      <c r="BR18"/>
      <c r="BS18"/>
      <c r="BT18">
        <v>15</v>
      </c>
      <c r="BU18">
        <v>0.2</v>
      </c>
      <c r="BV18">
        <v>0.05</v>
      </c>
      <c r="BW18"/>
      <c r="BX18"/>
      <c r="BY18">
        <v>0.01</v>
      </c>
      <c r="BZ18" s="1">
        <v>0.05</v>
      </c>
    </row>
    <row r="19" spans="2:78" ht="13.5" customHeight="1" x14ac:dyDescent="0.25">
      <c r="B19" s="31" t="s">
        <v>91</v>
      </c>
      <c r="C19" s="33" t="s">
        <v>92</v>
      </c>
      <c r="D19" s="29">
        <f>BO24</f>
        <v>0</v>
      </c>
      <c r="E19" s="29">
        <f>D19</f>
        <v>0</v>
      </c>
      <c r="F19" s="29">
        <f>BO39</f>
        <v>0</v>
      </c>
      <c r="O19" s="445"/>
      <c r="P19" s="411" t="s">
        <v>183</v>
      </c>
      <c r="Q19" s="412"/>
      <c r="R19" s="412"/>
      <c r="S19" s="412"/>
      <c r="T19" s="412"/>
      <c r="U19" s="412"/>
      <c r="V19" s="412"/>
      <c r="W19" s="412"/>
      <c r="X19" s="413"/>
      <c r="Y19" s="446">
        <v>4</v>
      </c>
      <c r="Z19" s="447"/>
      <c r="AA19" s="448"/>
      <c r="AB19" s="449">
        <v>0.25</v>
      </c>
      <c r="AC19" s="450"/>
      <c r="AD19" s="451"/>
      <c r="AE19" s="452">
        <v>1</v>
      </c>
      <c r="AF19" s="453"/>
      <c r="AG19" s="454"/>
      <c r="AH19" s="452">
        <f>Y19*AB19*AE19*(Y4+Y5)</f>
        <v>0</v>
      </c>
      <c r="AI19" s="453"/>
      <c r="AJ19" s="454"/>
      <c r="AK19" s="452">
        <f>Y19*AB19*AE19*(AC4+AC5)</f>
        <v>0</v>
      </c>
      <c r="AL19" s="453"/>
      <c r="AM19" s="454"/>
      <c r="AN19" s="446">
        <v>4</v>
      </c>
      <c r="AO19" s="447"/>
      <c r="AP19" s="448"/>
      <c r="AQ19" s="458">
        <v>0.125</v>
      </c>
      <c r="AR19" s="459"/>
      <c r="AS19" s="460"/>
      <c r="AT19" s="452">
        <v>1</v>
      </c>
      <c r="AU19" s="453"/>
      <c r="AV19" s="454"/>
      <c r="AW19" s="452">
        <f>AN19*AQ19*AT19*(Y4+Y5)</f>
        <v>0</v>
      </c>
      <c r="AX19" s="453"/>
      <c r="AY19" s="454"/>
      <c r="AZ19" s="452">
        <f>AN19*AQ19*AT19*(AC4+AC5)</f>
        <v>0</v>
      </c>
      <c r="BA19" s="453"/>
      <c r="BB19" s="454"/>
      <c r="BC19"/>
      <c r="BD19" s="55">
        <f>AW19</f>
        <v>0</v>
      </c>
      <c r="BE19" s="55">
        <f>AZ19</f>
        <v>0</v>
      </c>
      <c r="BF19"/>
      <c r="BG19"/>
      <c r="BH19" t="str">
        <f>P19</f>
        <v>Hand Sink (cycle)</v>
      </c>
      <c r="BI19">
        <v>95</v>
      </c>
      <c r="BJ19" s="56">
        <f>(BI19-$BI$3)/($BI$2-$BI$3)*BK19</f>
        <v>0.45783132530120479</v>
      </c>
      <c r="BK19">
        <v>1</v>
      </c>
      <c r="BL19" s="57">
        <f t="shared" si="0"/>
        <v>0</v>
      </c>
      <c r="BM19" s="57">
        <f>BJ19*BE19</f>
        <v>0</v>
      </c>
      <c r="BN19" s="58">
        <f>BL19*$AW$5+BM19*$AW$6</f>
        <v>0</v>
      </c>
      <c r="BO19" s="57">
        <f>BN19/$BU$30/60</f>
        <v>0</v>
      </c>
      <c r="BP19" s="57"/>
      <c r="BQ19" s="57"/>
      <c r="BR19"/>
      <c r="BS19"/>
      <c r="BT19">
        <v>16</v>
      </c>
      <c r="BU19">
        <v>0.2</v>
      </c>
      <c r="BV19">
        <v>0.05</v>
      </c>
      <c r="BW19"/>
      <c r="BX19"/>
      <c r="BY19">
        <v>0.01</v>
      </c>
      <c r="BZ19" s="1">
        <v>0.05</v>
      </c>
    </row>
    <row r="20" spans="2:78" ht="13.5" customHeight="1" x14ac:dyDescent="0.25">
      <c r="O20" s="464"/>
      <c r="P20" s="464"/>
      <c r="Q20" s="464"/>
      <c r="R20" s="464"/>
      <c r="S20" s="464"/>
      <c r="T20" s="464"/>
      <c r="U20" s="464"/>
      <c r="V20" s="464"/>
      <c r="W20" s="464"/>
      <c r="X20" s="464"/>
      <c r="Y20" s="464"/>
      <c r="Z20" s="464"/>
      <c r="AA20" s="464"/>
      <c r="AB20" s="464"/>
      <c r="AC20" s="464"/>
      <c r="AD20" s="464"/>
      <c r="AE20" s="464"/>
      <c r="AF20" s="464"/>
      <c r="AG20" s="464"/>
      <c r="AH20" s="464"/>
      <c r="AI20" s="464"/>
      <c r="AJ20" s="464"/>
      <c r="AK20" s="464"/>
      <c r="AL20" s="464"/>
      <c r="AM20" s="464"/>
      <c r="AN20" s="464"/>
      <c r="AO20" s="464"/>
      <c r="AP20" s="464"/>
      <c r="AQ20" s="464"/>
      <c r="AR20" s="464"/>
      <c r="AS20" s="464"/>
      <c r="AT20" s="464"/>
      <c r="AU20" s="464"/>
      <c r="AV20" s="464"/>
      <c r="AW20" s="464"/>
      <c r="AX20" s="464"/>
      <c r="AY20" s="464"/>
      <c r="AZ20" s="464"/>
      <c r="BA20" s="48"/>
      <c r="BB20" s="48"/>
      <c r="BC20" t="s">
        <v>184</v>
      </c>
      <c r="BD20" s="55">
        <f>SUM(BD16:BD19)</f>
        <v>0</v>
      </c>
      <c r="BE20" s="55">
        <f>SUM(BE16:BE19)</f>
        <v>0</v>
      </c>
      <c r="BF20" s="58">
        <f>BD20*$AW$5+BE20*$AW$6</f>
        <v>0</v>
      </c>
      <c r="BG20"/>
      <c r="BH20" t="s">
        <v>184</v>
      </c>
      <c r="BI20" s="55"/>
      <c r="BJ20" s="55"/>
      <c r="BK20" s="58"/>
      <c r="BL20" s="55">
        <f>SUM(BL16:BL19)</f>
        <v>0</v>
      </c>
      <c r="BM20" s="55">
        <f>SUM(BM16:BM19)</f>
        <v>0</v>
      </c>
      <c r="BN20" s="58">
        <f>BL20*$AW$5+BM20*$AW$6</f>
        <v>0</v>
      </c>
      <c r="BO20" s="57">
        <f>BN20/$BU$30/60</f>
        <v>0</v>
      </c>
      <c r="BP20" s="57"/>
      <c r="BQ20" s="57"/>
      <c r="BR20"/>
      <c r="BS20"/>
      <c r="BT20">
        <v>17</v>
      </c>
      <c r="BU20">
        <v>0.1</v>
      </c>
      <c r="BV20">
        <v>0.05</v>
      </c>
      <c r="BW20"/>
      <c r="BX20"/>
      <c r="BY20">
        <v>0.01</v>
      </c>
      <c r="BZ20" s="1">
        <v>0.05</v>
      </c>
    </row>
    <row r="21" spans="2:78" ht="13.5" customHeight="1" x14ac:dyDescent="0.25">
      <c r="O21" s="465" t="s">
        <v>185</v>
      </c>
      <c r="P21" s="411" t="s">
        <v>160</v>
      </c>
      <c r="Q21" s="412"/>
      <c r="R21" s="412"/>
      <c r="S21" s="412"/>
      <c r="T21" s="412"/>
      <c r="U21" s="412"/>
      <c r="V21" s="412"/>
      <c r="W21" s="412"/>
      <c r="X21" s="413"/>
      <c r="Y21" s="446">
        <v>1</v>
      </c>
      <c r="Z21" s="447"/>
      <c r="AA21" s="448"/>
      <c r="AB21" s="449">
        <v>1.6</v>
      </c>
      <c r="AC21" s="450"/>
      <c r="AD21" s="451"/>
      <c r="AE21" s="452">
        <v>1</v>
      </c>
      <c r="AF21" s="453"/>
      <c r="AG21" s="454"/>
      <c r="AH21" s="466">
        <f>Y21*AB21*AE21*Y8</f>
        <v>0</v>
      </c>
      <c r="AI21" s="467"/>
      <c r="AJ21" s="468"/>
      <c r="AK21" s="455">
        <f>Y21*AB21*AE21*AC8</f>
        <v>0</v>
      </c>
      <c r="AL21" s="456"/>
      <c r="AM21" s="457"/>
      <c r="AN21" s="446">
        <v>1</v>
      </c>
      <c r="AO21" s="447"/>
      <c r="AP21" s="448"/>
      <c r="AQ21" s="449">
        <v>1.28</v>
      </c>
      <c r="AR21" s="450"/>
      <c r="AS21" s="451"/>
      <c r="AT21" s="452">
        <v>1</v>
      </c>
      <c r="AU21" s="453"/>
      <c r="AV21" s="454"/>
      <c r="AW21" s="455">
        <f>AN21*AQ21*AT21*Y8</f>
        <v>0</v>
      </c>
      <c r="AX21" s="456"/>
      <c r="AY21" s="457"/>
      <c r="AZ21" s="452">
        <f>AN21*AQ21*AT21*AC8</f>
        <v>0</v>
      </c>
      <c r="BA21" s="453"/>
      <c r="BB21" s="454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>
        <v>18</v>
      </c>
      <c r="BU21">
        <v>0.1</v>
      </c>
      <c r="BV21">
        <v>0.05</v>
      </c>
      <c r="BW21"/>
      <c r="BX21"/>
      <c r="BY21">
        <v>0.01</v>
      </c>
      <c r="BZ21" s="1">
        <v>0.05</v>
      </c>
    </row>
    <row r="22" spans="2:78" ht="13.5" customHeight="1" x14ac:dyDescent="0.25">
      <c r="O22" s="465"/>
      <c r="P22" s="411" t="s">
        <v>161</v>
      </c>
      <c r="Q22" s="412"/>
      <c r="R22" s="412"/>
      <c r="S22" s="412"/>
      <c r="T22" s="412"/>
      <c r="U22" s="412"/>
      <c r="V22" s="412"/>
      <c r="W22" s="412"/>
      <c r="X22" s="413"/>
      <c r="Y22" s="446">
        <v>2</v>
      </c>
      <c r="Z22" s="447"/>
      <c r="AA22" s="448"/>
      <c r="AB22" s="449">
        <v>1</v>
      </c>
      <c r="AC22" s="450"/>
      <c r="AD22" s="451"/>
      <c r="AE22" s="452">
        <v>1</v>
      </c>
      <c r="AF22" s="453"/>
      <c r="AG22" s="454"/>
      <c r="AH22" s="455">
        <f>Y22*AB22*AE22*Y8</f>
        <v>0</v>
      </c>
      <c r="AI22" s="456"/>
      <c r="AJ22" s="457"/>
      <c r="AK22" s="452">
        <f>Y22*AB22*AE22*AC8</f>
        <v>0</v>
      </c>
      <c r="AL22" s="453"/>
      <c r="AM22" s="454"/>
      <c r="AN22" s="446">
        <v>2</v>
      </c>
      <c r="AO22" s="447"/>
      <c r="AP22" s="448"/>
      <c r="AQ22" s="458">
        <v>0.125</v>
      </c>
      <c r="AR22" s="459"/>
      <c r="AS22" s="460"/>
      <c r="AT22" s="452">
        <v>1</v>
      </c>
      <c r="AU22" s="453"/>
      <c r="AV22" s="454"/>
      <c r="AW22" s="452">
        <f>AN22*AQ22*AT22*Y8</f>
        <v>0</v>
      </c>
      <c r="AX22" s="453"/>
      <c r="AY22" s="454"/>
      <c r="AZ22" s="452">
        <f>AN22*AQ22*AT22*AC8</f>
        <v>0</v>
      </c>
      <c r="BA22" s="453"/>
      <c r="BB22" s="454"/>
      <c r="BC22"/>
      <c r="BD22"/>
      <c r="BE22"/>
      <c r="BF22"/>
      <c r="BG22"/>
      <c r="BH22"/>
      <c r="BI22"/>
      <c r="BJ22"/>
      <c r="BK22"/>
      <c r="BL22"/>
      <c r="BM22" t="s">
        <v>150</v>
      </c>
      <c r="BN22" s="58">
        <f>BN16+BN17+BN18</f>
        <v>0</v>
      </c>
      <c r="BO22" s="59">
        <f>BN22/$BU$30/60</f>
        <v>0</v>
      </c>
      <c r="BP22" s="57"/>
      <c r="BQ22" s="76"/>
      <c r="BR22"/>
      <c r="BS22"/>
      <c r="BT22">
        <v>19</v>
      </c>
      <c r="BU22">
        <v>0.1</v>
      </c>
      <c r="BV22">
        <v>0.05</v>
      </c>
      <c r="BW22"/>
      <c r="BX22"/>
      <c r="BY22">
        <v>0.01</v>
      </c>
      <c r="BZ22" s="1">
        <v>0.05</v>
      </c>
    </row>
    <row r="23" spans="2:78" ht="13.5" customHeight="1" x14ac:dyDescent="0.25">
      <c r="O23" s="465"/>
      <c r="P23" s="411" t="s">
        <v>162</v>
      </c>
      <c r="Q23" s="412"/>
      <c r="R23" s="412"/>
      <c r="S23" s="412"/>
      <c r="T23" s="412"/>
      <c r="U23" s="412"/>
      <c r="V23" s="412"/>
      <c r="W23" s="412"/>
      <c r="X23" s="413"/>
      <c r="Y23" s="446">
        <v>3</v>
      </c>
      <c r="Z23" s="447"/>
      <c r="AA23" s="448"/>
      <c r="AB23" s="449">
        <v>1.6</v>
      </c>
      <c r="AC23" s="450"/>
      <c r="AD23" s="451"/>
      <c r="AE23" s="452">
        <v>1</v>
      </c>
      <c r="AF23" s="453"/>
      <c r="AG23" s="454"/>
      <c r="AH23" s="455">
        <f>Y23*AB23*AE23*Y10</f>
        <v>0</v>
      </c>
      <c r="AI23" s="456"/>
      <c r="AJ23" s="457"/>
      <c r="AK23" s="452">
        <f>Y23*AB23*AE23*AC10</f>
        <v>0</v>
      </c>
      <c r="AL23" s="453"/>
      <c r="AM23" s="454"/>
      <c r="AN23" s="446">
        <v>3</v>
      </c>
      <c r="AO23" s="447"/>
      <c r="AP23" s="448"/>
      <c r="AQ23" s="449">
        <v>1.28</v>
      </c>
      <c r="AR23" s="450"/>
      <c r="AS23" s="451"/>
      <c r="AT23" s="452">
        <v>1</v>
      </c>
      <c r="AU23" s="453"/>
      <c r="AV23" s="454"/>
      <c r="AW23" s="452">
        <f>AN23*AQ23*AT23*Y10</f>
        <v>0</v>
      </c>
      <c r="AX23" s="453"/>
      <c r="AY23" s="454"/>
      <c r="AZ23" s="452">
        <f>AN23*AQ23*AT23*AC10</f>
        <v>0</v>
      </c>
      <c r="BA23" s="453"/>
      <c r="BB23" s="454"/>
      <c r="BC23"/>
      <c r="BD23"/>
      <c r="BE23"/>
      <c r="BF23"/>
      <c r="BG23"/>
      <c r="BH23"/>
      <c r="BI23"/>
      <c r="BJ23"/>
      <c r="BK23"/>
      <c r="BL23"/>
      <c r="BM23" t="s">
        <v>186</v>
      </c>
      <c r="BN23" s="58">
        <f>BN19</f>
        <v>0</v>
      </c>
      <c r="BO23" s="57">
        <f>BN23/$BV$30/60</f>
        <v>0</v>
      </c>
      <c r="BP23"/>
      <c r="BQ23"/>
      <c r="BR23"/>
      <c r="BS23"/>
      <c r="BT23">
        <v>20</v>
      </c>
      <c r="BU23">
        <v>0.1</v>
      </c>
      <c r="BV23">
        <v>0.05</v>
      </c>
      <c r="BW23"/>
      <c r="BX23"/>
      <c r="BY23">
        <v>0.01</v>
      </c>
      <c r="BZ23" s="1">
        <v>0.05</v>
      </c>
    </row>
    <row r="24" spans="2:78" ht="13.5" customHeight="1" x14ac:dyDescent="0.25">
      <c r="O24" s="465"/>
      <c r="P24" s="411" t="s">
        <v>187</v>
      </c>
      <c r="Q24" s="412"/>
      <c r="R24" s="412"/>
      <c r="S24" s="412"/>
      <c r="T24" s="412"/>
      <c r="U24" s="412"/>
      <c r="V24" s="412"/>
      <c r="W24" s="412"/>
      <c r="X24" s="413"/>
      <c r="Y24" s="446">
        <v>3</v>
      </c>
      <c r="Z24" s="447"/>
      <c r="AA24" s="448"/>
      <c r="AB24" s="449">
        <v>1.6</v>
      </c>
      <c r="AC24" s="450"/>
      <c r="AD24" s="451"/>
      <c r="AE24" s="452">
        <v>1</v>
      </c>
      <c r="AF24" s="453"/>
      <c r="AG24" s="454"/>
      <c r="AH24" s="452">
        <f>Y24*AB24*AE24*Y7</f>
        <v>0</v>
      </c>
      <c r="AI24" s="453"/>
      <c r="AJ24" s="454"/>
      <c r="AK24" s="452">
        <f>Y24*AB24*AE24*AC7</f>
        <v>0</v>
      </c>
      <c r="AL24" s="453"/>
      <c r="AM24" s="454"/>
      <c r="AN24" s="446">
        <v>3</v>
      </c>
      <c r="AO24" s="447"/>
      <c r="AP24" s="448"/>
      <c r="AQ24" s="449">
        <v>1.28</v>
      </c>
      <c r="AR24" s="450"/>
      <c r="AS24" s="451"/>
      <c r="AT24" s="452">
        <v>1</v>
      </c>
      <c r="AU24" s="453"/>
      <c r="AV24" s="454"/>
      <c r="AW24" s="452">
        <f>AN24*AQ24*AT24*Y7</f>
        <v>0</v>
      </c>
      <c r="AX24" s="453"/>
      <c r="AY24" s="454"/>
      <c r="AZ24" s="452">
        <f>AN24*AQ24*AT24*AC7</f>
        <v>0</v>
      </c>
      <c r="BA24" s="453"/>
      <c r="BB24" s="454"/>
      <c r="BC24"/>
      <c r="BD24"/>
      <c r="BE24"/>
      <c r="BF24"/>
      <c r="BG24"/>
      <c r="BH24"/>
      <c r="BI24"/>
      <c r="BJ24"/>
      <c r="BK24"/>
      <c r="BL24"/>
      <c r="BM24" t="s">
        <v>188</v>
      </c>
      <c r="BN24"/>
      <c r="BO24" s="59">
        <f>BO23+$P$46+P58</f>
        <v>0</v>
      </c>
      <c r="BP24"/>
      <c r="BQ24"/>
      <c r="BR24"/>
      <c r="BS24"/>
      <c r="BT24">
        <v>21</v>
      </c>
      <c r="BU24">
        <v>0.01</v>
      </c>
      <c r="BV24">
        <v>0.05</v>
      </c>
      <c r="BW24"/>
      <c r="BX24"/>
      <c r="BY24">
        <v>0.01</v>
      </c>
      <c r="BZ24" s="1">
        <v>0.05</v>
      </c>
    </row>
    <row r="25" spans="2:78" ht="13.5" customHeight="1" x14ac:dyDescent="0.25">
      <c r="O25" s="465"/>
      <c r="P25" s="411" t="s">
        <v>189</v>
      </c>
      <c r="Q25" s="412"/>
      <c r="R25" s="412"/>
      <c r="S25" s="412"/>
      <c r="T25" s="412"/>
      <c r="U25" s="412"/>
      <c r="V25" s="412"/>
      <c r="W25" s="412"/>
      <c r="X25" s="413"/>
      <c r="Y25" s="446">
        <v>3</v>
      </c>
      <c r="Z25" s="447"/>
      <c r="AA25" s="448"/>
      <c r="AB25" s="449">
        <v>1.6</v>
      </c>
      <c r="AC25" s="450"/>
      <c r="AD25" s="451"/>
      <c r="AE25" s="452">
        <v>1</v>
      </c>
      <c r="AF25" s="453"/>
      <c r="AG25" s="454"/>
      <c r="AH25" s="452">
        <f>Y25*AB25*AE25*Y6</f>
        <v>0</v>
      </c>
      <c r="AI25" s="453"/>
      <c r="AJ25" s="454"/>
      <c r="AK25" s="452">
        <f>Y25*AB25*AE25*AC6</f>
        <v>0</v>
      </c>
      <c r="AL25" s="453"/>
      <c r="AM25" s="454"/>
      <c r="AN25" s="446">
        <v>3</v>
      </c>
      <c r="AO25" s="447"/>
      <c r="AP25" s="448"/>
      <c r="AQ25" s="449">
        <v>1.28</v>
      </c>
      <c r="AR25" s="450"/>
      <c r="AS25" s="451"/>
      <c r="AT25" s="452">
        <v>1</v>
      </c>
      <c r="AU25" s="453"/>
      <c r="AV25" s="454"/>
      <c r="AW25" s="452">
        <f>AN25*AQ25*AT25*Y6</f>
        <v>0</v>
      </c>
      <c r="AX25" s="453"/>
      <c r="AY25" s="454"/>
      <c r="AZ25" s="452">
        <f>AN25*AQ25*AT25*AC6</f>
        <v>0</v>
      </c>
      <c r="BA25" s="453"/>
      <c r="BB25" s="454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>
        <v>22</v>
      </c>
      <c r="BU25">
        <v>0.01</v>
      </c>
      <c r="BV25">
        <v>0.05</v>
      </c>
      <c r="BW25"/>
      <c r="BX25"/>
      <c r="BY25">
        <v>0.01</v>
      </c>
      <c r="BZ25" s="1">
        <v>0.05</v>
      </c>
    </row>
    <row r="26" spans="2:78" ht="13.5" customHeight="1" x14ac:dyDescent="0.25">
      <c r="O26" s="465"/>
      <c r="P26" s="411" t="s">
        <v>190</v>
      </c>
      <c r="Q26" s="412"/>
      <c r="R26" s="412"/>
      <c r="S26" s="412"/>
      <c r="T26" s="412"/>
      <c r="U26" s="412"/>
      <c r="V26" s="412"/>
      <c r="W26" s="412"/>
      <c r="X26" s="413"/>
      <c r="Y26" s="446">
        <v>3</v>
      </c>
      <c r="Z26" s="447"/>
      <c r="AA26" s="448"/>
      <c r="AB26" s="449">
        <v>1.6</v>
      </c>
      <c r="AC26" s="450"/>
      <c r="AD26" s="451"/>
      <c r="AE26" s="452">
        <v>1</v>
      </c>
      <c r="AF26" s="453"/>
      <c r="AG26" s="454"/>
      <c r="AH26" s="452">
        <f>Y26*AB26*AE26*Y5</f>
        <v>0</v>
      </c>
      <c r="AI26" s="453"/>
      <c r="AJ26" s="454"/>
      <c r="AK26" s="452">
        <f>Y26*AB26*AE26*AC5</f>
        <v>0</v>
      </c>
      <c r="AL26" s="453"/>
      <c r="AM26" s="454"/>
      <c r="AN26" s="446">
        <v>3</v>
      </c>
      <c r="AO26" s="447"/>
      <c r="AP26" s="448"/>
      <c r="AQ26" s="449">
        <v>1.28</v>
      </c>
      <c r="AR26" s="450"/>
      <c r="AS26" s="451"/>
      <c r="AT26" s="452">
        <v>1</v>
      </c>
      <c r="AU26" s="453"/>
      <c r="AV26" s="454"/>
      <c r="AW26" s="452">
        <f>AN26*AQ26*AT26*Y5</f>
        <v>0</v>
      </c>
      <c r="AX26" s="453"/>
      <c r="AY26" s="454"/>
      <c r="AZ26" s="452">
        <f>AN26*AQ26*AT26*AC5</f>
        <v>0</v>
      </c>
      <c r="BA26" s="453"/>
      <c r="BB26" s="454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>
        <v>23</v>
      </c>
      <c r="BU26">
        <v>0.01</v>
      </c>
      <c r="BV26">
        <v>0.05</v>
      </c>
      <c r="BW26"/>
      <c r="BX26"/>
      <c r="BY26">
        <v>0.01</v>
      </c>
      <c r="BZ26" s="1">
        <v>0.05</v>
      </c>
    </row>
    <row r="27" spans="2:78" ht="12.75" customHeight="1" x14ac:dyDescent="0.25">
      <c r="O27" s="480" t="s">
        <v>191</v>
      </c>
      <c r="P27" s="481"/>
      <c r="Q27" s="481"/>
      <c r="R27" s="481"/>
      <c r="S27" s="481"/>
      <c r="T27" s="481"/>
      <c r="U27" s="481"/>
      <c r="V27" s="481"/>
      <c r="W27" s="481"/>
      <c r="X27" s="481"/>
      <c r="Y27" s="481"/>
      <c r="Z27" s="481"/>
      <c r="AA27" s="481"/>
      <c r="AB27" s="481"/>
      <c r="AC27" s="481"/>
      <c r="AD27" s="481"/>
      <c r="AE27" s="481"/>
      <c r="AF27" s="481"/>
      <c r="AG27" s="482"/>
      <c r="AH27" s="452">
        <f>SUM(AH16:AJ26)</f>
        <v>0</v>
      </c>
      <c r="AI27" s="453"/>
      <c r="AJ27" s="454"/>
      <c r="AK27" s="452">
        <f>SUM(AK16:AM26)</f>
        <v>0</v>
      </c>
      <c r="AL27" s="453"/>
      <c r="AM27" s="454"/>
      <c r="AN27" s="480" t="s">
        <v>192</v>
      </c>
      <c r="AO27" s="481"/>
      <c r="AP27" s="481"/>
      <c r="AQ27" s="481"/>
      <c r="AR27" s="481"/>
      <c r="AS27" s="481"/>
      <c r="AT27" s="481"/>
      <c r="AU27" s="481"/>
      <c r="AV27" s="482"/>
      <c r="AW27" s="452">
        <f>SUM(AW16:AY26)</f>
        <v>0</v>
      </c>
      <c r="AX27" s="453"/>
      <c r="AY27" s="454"/>
      <c r="AZ27" s="452">
        <f>SUM(AZ16:BB26)</f>
        <v>0</v>
      </c>
      <c r="BA27" s="453"/>
      <c r="BB27" s="454"/>
      <c r="BC27"/>
      <c r="BD27"/>
      <c r="BE27"/>
      <c r="BF27"/>
      <c r="BG27"/>
      <c r="BH27" s="60" t="s">
        <v>193</v>
      </c>
      <c r="BI27"/>
      <c r="BJ27"/>
      <c r="BK27"/>
      <c r="BL27"/>
      <c r="BM27"/>
      <c r="BN27"/>
      <c r="BO27"/>
      <c r="BP27"/>
      <c r="BQ27"/>
      <c r="BR27"/>
      <c r="BS27"/>
      <c r="BT27">
        <v>24</v>
      </c>
      <c r="BU27">
        <v>0.01</v>
      </c>
      <c r="BV27">
        <v>0.05</v>
      </c>
      <c r="BW27"/>
      <c r="BX27"/>
      <c r="BY27">
        <v>0.01</v>
      </c>
      <c r="BZ27" s="1">
        <v>0.05</v>
      </c>
    </row>
    <row r="28" spans="2:78" ht="12.75" customHeight="1" x14ac:dyDescent="0.25"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478"/>
      <c r="AI28" s="478"/>
      <c r="AJ28" s="478"/>
      <c r="AK28" s="478"/>
      <c r="AL28" s="478"/>
      <c r="AM28" s="478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48"/>
      <c r="BB28" s="48"/>
      <c r="BC28"/>
      <c r="BD28"/>
      <c r="BE28"/>
      <c r="BF28"/>
      <c r="BG28"/>
      <c r="BH28"/>
      <c r="BI28"/>
      <c r="BJ28"/>
      <c r="BK28"/>
      <c r="BL28" t="s">
        <v>169</v>
      </c>
      <c r="BM28"/>
      <c r="BN28"/>
      <c r="BO28"/>
      <c r="BP28"/>
      <c r="BQ28"/>
      <c r="BR28"/>
      <c r="BS28"/>
      <c r="BT28" t="s">
        <v>194</v>
      </c>
      <c r="BU28">
        <f>SUM(BU4:BU27)</f>
        <v>3.3</v>
      </c>
      <c r="BV28">
        <f>SUM(BV4:BV27)</f>
        <v>2.2499999999999991</v>
      </c>
      <c r="BW28"/>
      <c r="BX28"/>
      <c r="BY28">
        <f>SUM(BY4:BY27)</f>
        <v>0.24000000000000007</v>
      </c>
      <c r="BZ28">
        <f>SUM(BZ4:BZ27)</f>
        <v>1.2000000000000004</v>
      </c>
    </row>
    <row r="29" spans="2:78" ht="12.75" customHeight="1" x14ac:dyDescent="0.25">
      <c r="O29" s="410" t="s">
        <v>195</v>
      </c>
      <c r="P29" s="410"/>
      <c r="Q29" s="410"/>
      <c r="R29" s="410"/>
      <c r="S29" s="410"/>
      <c r="T29" s="410"/>
      <c r="U29" s="410"/>
      <c r="V29" s="410"/>
      <c r="W29" s="410"/>
      <c r="X29" s="410"/>
      <c r="Y29" s="410"/>
      <c r="Z29" s="410"/>
      <c r="AA29" s="410"/>
      <c r="AB29" s="410"/>
      <c r="AC29" s="410"/>
      <c r="AD29" s="410"/>
      <c r="AE29" s="410"/>
      <c r="AF29" s="410"/>
      <c r="AG29" s="410"/>
      <c r="AH29" s="410"/>
      <c r="AI29" s="410"/>
      <c r="AJ29" s="410"/>
      <c r="AK29" s="410"/>
      <c r="AL29" s="410"/>
      <c r="AM29" s="410"/>
      <c r="AN29" s="410"/>
      <c r="AO29" s="410"/>
      <c r="AP29" s="410"/>
      <c r="AQ29" s="410"/>
      <c r="AR29" s="410"/>
      <c r="AS29" s="410"/>
      <c r="AT29" s="410"/>
      <c r="AU29" s="410"/>
      <c r="AV29" s="410"/>
      <c r="AW29" s="410"/>
      <c r="AX29" s="410"/>
      <c r="AY29" s="410"/>
      <c r="AZ29" s="410"/>
      <c r="BA29" s="410"/>
      <c r="BB29" s="410"/>
      <c r="BC29"/>
      <c r="BD29"/>
      <c r="BE29"/>
      <c r="BF29"/>
      <c r="BG29"/>
      <c r="BH29"/>
      <c r="BI29" t="s">
        <v>174</v>
      </c>
      <c r="BJ29"/>
      <c r="BK29"/>
      <c r="BL29" t="s">
        <v>167</v>
      </c>
      <c r="BM29"/>
      <c r="BN29" t="s">
        <v>168</v>
      </c>
      <c r="BO29" t="s">
        <v>175</v>
      </c>
      <c r="BP29"/>
      <c r="BQ29"/>
      <c r="BR29"/>
      <c r="BS29"/>
      <c r="BT29"/>
      <c r="BU29"/>
      <c r="BV29"/>
      <c r="BW29"/>
      <c r="BX29"/>
      <c r="BY29"/>
    </row>
    <row r="30" spans="2:78" ht="15" x14ac:dyDescent="0.25"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479" t="s">
        <v>166</v>
      </c>
      <c r="AI30" s="479"/>
      <c r="AJ30" s="479"/>
      <c r="AK30" s="479"/>
      <c r="AL30" s="479"/>
      <c r="AM30" s="479"/>
      <c r="AN30" s="479" t="s">
        <v>4</v>
      </c>
      <c r="AO30" s="479"/>
      <c r="AP30" s="479"/>
      <c r="AQ30" s="479"/>
      <c r="AR30" s="479"/>
      <c r="AS30" s="479"/>
      <c r="AT30" s="61"/>
      <c r="AU30" s="61"/>
      <c r="AV30" s="61"/>
      <c r="AW30" s="61"/>
      <c r="AX30" s="61"/>
      <c r="AY30" s="61"/>
      <c r="AZ30" s="61"/>
      <c r="BA30" s="48"/>
      <c r="BB30" s="48"/>
      <c r="BC30"/>
      <c r="BD30"/>
      <c r="BE30"/>
      <c r="BF30"/>
      <c r="BG30"/>
      <c r="BH30"/>
      <c r="BI30" t="s">
        <v>110</v>
      </c>
      <c r="BJ30" t="s">
        <v>177</v>
      </c>
      <c r="BK30" t="s">
        <v>178</v>
      </c>
      <c r="BL30" t="s">
        <v>176</v>
      </c>
      <c r="BM30" t="s">
        <v>2</v>
      </c>
      <c r="BN30"/>
      <c r="BO30"/>
      <c r="BP30"/>
      <c r="BQ30"/>
      <c r="BR30"/>
      <c r="BS30"/>
      <c r="BT30" t="s">
        <v>196</v>
      </c>
      <c r="BU30">
        <f>BU28*$CC$14+BY28*$CC$15</f>
        <v>852.6</v>
      </c>
      <c r="BV30">
        <f>BV28*$CC$14+BZ28*$CC$15</f>
        <v>700.49999999999977</v>
      </c>
      <c r="BW30"/>
      <c r="BX30"/>
      <c r="BY30"/>
    </row>
    <row r="31" spans="2:78" ht="15.75" thickBot="1" x14ac:dyDescent="0.3">
      <c r="O31" s="48" t="s">
        <v>197</v>
      </c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1"/>
      <c r="AC31" s="61"/>
      <c r="AD31" s="61"/>
      <c r="AE31" s="61"/>
      <c r="AF31" s="61"/>
      <c r="AG31" s="61"/>
      <c r="AH31" s="469">
        <f>(AH27*AW5)+(AK27*AW6)</f>
        <v>0</v>
      </c>
      <c r="AI31" s="470"/>
      <c r="AJ31" s="470"/>
      <c r="AK31" s="470"/>
      <c r="AL31" s="470"/>
      <c r="AM31" s="471"/>
      <c r="AN31" s="472">
        <f>(AW27*AW5)+(AZ27*AW6)</f>
        <v>0</v>
      </c>
      <c r="AO31" s="473"/>
      <c r="AP31" s="473"/>
      <c r="AQ31" s="473"/>
      <c r="AR31" s="473"/>
      <c r="AS31" s="474"/>
      <c r="AT31" s="61"/>
      <c r="AU31" s="61"/>
      <c r="AV31" s="61"/>
      <c r="AW31" s="61"/>
      <c r="AX31" s="61"/>
      <c r="AY31" s="61"/>
      <c r="AZ31" s="61"/>
      <c r="BA31" s="48"/>
      <c r="BB31" s="48"/>
      <c r="BC31"/>
      <c r="BD31"/>
      <c r="BE31"/>
      <c r="BF31"/>
      <c r="BG31"/>
      <c r="BH31" t="str">
        <f>P16</f>
        <v>Conventional Lavatory (Student) (cycle)</v>
      </c>
      <c r="BI31">
        <v>95</v>
      </c>
      <c r="BJ31" s="56">
        <f>(BI31-$BI$3)/($BI$2-$BI$3)*BK31</f>
        <v>0.45783132530120479</v>
      </c>
      <c r="BK31">
        <v>1</v>
      </c>
      <c r="BL31" s="57">
        <f>AH16*BJ31</f>
        <v>0</v>
      </c>
      <c r="BM31" s="57">
        <f>AK16*BJ31</f>
        <v>0</v>
      </c>
      <c r="BN31" s="58">
        <f>BL31*$AW$5+BM31*$AW$6</f>
        <v>0</v>
      </c>
      <c r="BO31" s="57">
        <f>BN31/$BU$30/60</f>
        <v>0</v>
      </c>
      <c r="BP31"/>
      <c r="BQ31"/>
      <c r="BR31"/>
      <c r="BS31"/>
      <c r="BT31"/>
      <c r="BU31"/>
      <c r="BV31"/>
      <c r="BW31"/>
      <c r="BX31"/>
      <c r="BY31"/>
    </row>
    <row r="32" spans="2:78" ht="15.75" thickBot="1" x14ac:dyDescent="0.3">
      <c r="O32" s="48" t="s">
        <v>198</v>
      </c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3"/>
      <c r="AC32" s="63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475">
        <f>IF(ISERROR(1-(AN31/AH31)),0,(1-(AN31/AH31)))</f>
        <v>0</v>
      </c>
      <c r="AO32" s="476"/>
      <c r="AP32" s="476"/>
      <c r="AQ32" s="476"/>
      <c r="AR32" s="476"/>
      <c r="AS32" s="477"/>
      <c r="AT32" s="61"/>
      <c r="AU32" s="61"/>
      <c r="AV32" s="61"/>
      <c r="AW32" s="61"/>
      <c r="AX32" s="61"/>
      <c r="AY32" s="61"/>
      <c r="AZ32" s="61"/>
      <c r="BA32" s="48"/>
      <c r="BB32" s="48"/>
      <c r="BC32"/>
      <c r="BD32"/>
      <c r="BE32"/>
      <c r="BF32"/>
      <c r="BG32"/>
      <c r="BH32" t="str">
        <f t="shared" ref="BH32:BH34" si="1">P17</f>
        <v>Conventional Lavatory (Adult) (cycle)</v>
      </c>
      <c r="BI32">
        <v>95</v>
      </c>
      <c r="BJ32" s="56">
        <f>(BI32-$BI$3)/($BI$2-$BI$3)*BK32</f>
        <v>0.45783132530120479</v>
      </c>
      <c r="BK32">
        <v>1</v>
      </c>
      <c r="BL32" s="57">
        <f>AH17*BJ32</f>
        <v>0</v>
      </c>
      <c r="BM32" s="57">
        <f>AK17*BJ32</f>
        <v>0</v>
      </c>
      <c r="BN32" s="58">
        <f>BL32*$AW$5+BM32*$AW$6</f>
        <v>0</v>
      </c>
      <c r="BO32" s="57">
        <f>BN32/$BU$30/60</f>
        <v>0</v>
      </c>
      <c r="BP32"/>
      <c r="BQ32"/>
      <c r="BR32"/>
      <c r="BS32"/>
      <c r="BT32"/>
      <c r="BU32"/>
      <c r="BV32"/>
      <c r="BW32"/>
      <c r="BX32"/>
      <c r="BY32"/>
    </row>
    <row r="33" spans="15:77" ht="15" customHeight="1" x14ac:dyDescent="0.25"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 t="str">
        <f t="shared" si="1"/>
        <v>Shower (gpm, seconds)</v>
      </c>
      <c r="BI33">
        <v>105</v>
      </c>
      <c r="BJ33" s="56">
        <f>(BI33-$BI$3)/($BI$2-$BI$3)*BK33</f>
        <v>0.57831325301204817</v>
      </c>
      <c r="BK33">
        <v>1</v>
      </c>
      <c r="BL33" s="57">
        <f>AH18*BJ33</f>
        <v>0</v>
      </c>
      <c r="BM33" s="57">
        <f>AK18*BJ33</f>
        <v>0</v>
      </c>
      <c r="BN33" s="58">
        <f>BL33*$AW$5+BM33*$AW$6</f>
        <v>0</v>
      </c>
      <c r="BO33" s="57">
        <f>BN33/$BU$30/60</f>
        <v>0</v>
      </c>
      <c r="BP33"/>
      <c r="BQ33"/>
      <c r="BR33"/>
      <c r="BS33"/>
      <c r="BT33"/>
      <c r="BU33"/>
      <c r="BV33"/>
      <c r="BW33"/>
      <c r="BX33"/>
      <c r="BY33"/>
    </row>
    <row r="34" spans="15:77" ht="15" customHeight="1" x14ac:dyDescent="0.25"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 t="str">
        <f t="shared" si="1"/>
        <v>Hand Sink (cycle)</v>
      </c>
      <c r="BI34">
        <v>95</v>
      </c>
      <c r="BJ34" s="56">
        <f>(BI34-$BI$3)/($BI$2-$BI$3)*BK34</f>
        <v>0.45783132530120479</v>
      </c>
      <c r="BK34">
        <v>1</v>
      </c>
      <c r="BL34" s="57">
        <f>AH19*BJ34</f>
        <v>0</v>
      </c>
      <c r="BM34" s="57">
        <f>AK19*BJ34</f>
        <v>0</v>
      </c>
      <c r="BN34" s="58">
        <f>BL34*$AW$5+BM34*$AW$6</f>
        <v>0</v>
      </c>
      <c r="BO34" s="57">
        <f>BN34/$BU$30/60</f>
        <v>0</v>
      </c>
      <c r="BP34"/>
      <c r="BQ34"/>
      <c r="BR34"/>
      <c r="BS34"/>
      <c r="BT34"/>
      <c r="BU34"/>
      <c r="BV34"/>
      <c r="BW34"/>
      <c r="BX34"/>
      <c r="BY34"/>
    </row>
    <row r="35" spans="15:77" ht="15" customHeight="1" x14ac:dyDescent="0.25"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 t="s">
        <v>184</v>
      </c>
      <c r="BI35" s="55"/>
      <c r="BJ35" s="55"/>
      <c r="BK35" s="58"/>
      <c r="BL35" s="55">
        <f>SUM(BL31:BL34)</f>
        <v>0</v>
      </c>
      <c r="BM35" s="55">
        <f>SUM(BM31:BM34)</f>
        <v>0</v>
      </c>
      <c r="BN35" s="58">
        <f>BL35*$AW$5+BM35*$AW$6</f>
        <v>0</v>
      </c>
      <c r="BO35" s="57">
        <f>BN35/$BU$30/60</f>
        <v>0</v>
      </c>
      <c r="BP35"/>
      <c r="BQ35"/>
      <c r="BR35"/>
      <c r="BS35"/>
      <c r="BT35"/>
      <c r="BU35"/>
      <c r="BV35"/>
      <c r="BW35"/>
      <c r="BX35"/>
      <c r="BY35"/>
    </row>
    <row r="36" spans="15:77" ht="15" customHeight="1" x14ac:dyDescent="0.25"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</row>
    <row r="37" spans="15:77" ht="15" x14ac:dyDescent="0.25"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 t="s">
        <v>150</v>
      </c>
      <c r="BN37" s="58">
        <f>BN31+BN32+BN33</f>
        <v>0</v>
      </c>
      <c r="BO37" s="59">
        <f>BN37/$BU$30/60</f>
        <v>0</v>
      </c>
      <c r="BP37"/>
      <c r="BQ37"/>
      <c r="BR37"/>
      <c r="BS37"/>
      <c r="BT37"/>
      <c r="BU37"/>
      <c r="BV37"/>
      <c r="BW37"/>
      <c r="BX37"/>
      <c r="BY37"/>
    </row>
    <row r="38" spans="15:77" ht="15" x14ac:dyDescent="0.25">
      <c r="O38" t="s">
        <v>199</v>
      </c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 t="s">
        <v>186</v>
      </c>
      <c r="BN38" s="58">
        <f>BN34</f>
        <v>0</v>
      </c>
      <c r="BO38" s="57">
        <f>BN38/$BV$30/60</f>
        <v>0</v>
      </c>
      <c r="BP38"/>
      <c r="BQ38"/>
      <c r="BR38"/>
      <c r="BS38"/>
      <c r="BT38"/>
      <c r="BU38"/>
      <c r="BV38"/>
      <c r="BW38"/>
      <c r="BX38"/>
      <c r="BY38"/>
    </row>
    <row r="39" spans="15:77" ht="15" x14ac:dyDescent="0.25">
      <c r="O39" t="s">
        <v>200</v>
      </c>
      <c r="P39" t="s">
        <v>201</v>
      </c>
      <c r="Q39"/>
      <c r="R39"/>
      <c r="S39" t="s">
        <v>415</v>
      </c>
      <c r="T39" t="s">
        <v>202</v>
      </c>
      <c r="U39" t="s">
        <v>175</v>
      </c>
      <c r="V39" t="s">
        <v>215</v>
      </c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 t="s">
        <v>188</v>
      </c>
      <c r="BN39"/>
      <c r="BO39" s="59">
        <f>BO38+$P$46+Q58</f>
        <v>0</v>
      </c>
      <c r="BP39"/>
      <c r="BQ39"/>
      <c r="BR39"/>
      <c r="BS39"/>
      <c r="BT39"/>
      <c r="BU39"/>
      <c r="BV39"/>
      <c r="BW39"/>
      <c r="BX39"/>
      <c r="BY39"/>
    </row>
    <row r="40" spans="15:77" ht="15" x14ac:dyDescent="0.25">
      <c r="O40" t="s">
        <v>203</v>
      </c>
      <c r="P40" t="s">
        <v>204</v>
      </c>
      <c r="Q40" t="s">
        <v>205</v>
      </c>
      <c r="R40"/>
      <c r="S40">
        <v>1.6</v>
      </c>
      <c r="T40">
        <f>S40</f>
        <v>1.6</v>
      </c>
      <c r="U40">
        <f>T40/60</f>
        <v>2.6666666666666668E-2</v>
      </c>
      <c r="V40" s="273">
        <f>IF(D12=0,'Kitchen Equipment'!D33*2,D12)</f>
        <v>0</v>
      </c>
      <c r="W40" s="1" t="s">
        <v>413</v>
      </c>
    </row>
    <row r="41" spans="15:77" ht="15" x14ac:dyDescent="0.25">
      <c r="O41" t="s">
        <v>206</v>
      </c>
      <c r="P41" t="s">
        <v>207</v>
      </c>
      <c r="Q41" t="s">
        <v>208</v>
      </c>
      <c r="R41"/>
      <c r="S41"/>
      <c r="T41">
        <v>6</v>
      </c>
      <c r="U41">
        <f>T41/60</f>
        <v>0.1</v>
      </c>
      <c r="V41" s="273">
        <v>0</v>
      </c>
      <c r="W41" s="1" t="s">
        <v>412</v>
      </c>
    </row>
    <row r="42" spans="15:77" ht="15" x14ac:dyDescent="0.25">
      <c r="O42" t="s">
        <v>209</v>
      </c>
      <c r="P42" t="s">
        <v>210</v>
      </c>
      <c r="Q42" t="s">
        <v>211</v>
      </c>
      <c r="R42"/>
      <c r="S42"/>
      <c r="T42"/>
      <c r="U42">
        <v>1.3</v>
      </c>
      <c r="V42" s="273">
        <f>'Kitchen Equipment'!D4</f>
        <v>0</v>
      </c>
    </row>
    <row r="43" spans="15:77" ht="15" customHeight="1" x14ac:dyDescent="0.25">
      <c r="O43" t="s">
        <v>212</v>
      </c>
      <c r="P43" t="s">
        <v>213</v>
      </c>
      <c r="Q43" t="s">
        <v>214</v>
      </c>
      <c r="R43"/>
      <c r="S43"/>
      <c r="T43">
        <v>3.5</v>
      </c>
      <c r="U43">
        <f>T43/60</f>
        <v>5.8333333333333334E-2</v>
      </c>
      <c r="V43" s="273">
        <v>0</v>
      </c>
      <c r="W43" s="1" t="s">
        <v>412</v>
      </c>
    </row>
    <row r="44" spans="15:77" ht="15" x14ac:dyDescent="0.25">
      <c r="O44"/>
      <c r="P44"/>
      <c r="Q44"/>
      <c r="R44"/>
      <c r="S44"/>
      <c r="T44"/>
      <c r="U44"/>
    </row>
    <row r="45" spans="15:77" ht="15" x14ac:dyDescent="0.25">
      <c r="O45"/>
      <c r="P45"/>
      <c r="Q45"/>
      <c r="R45"/>
      <c r="S45"/>
      <c r="T45"/>
      <c r="U45"/>
    </row>
    <row r="46" spans="15:77" ht="15" x14ac:dyDescent="0.25">
      <c r="O46" t="s">
        <v>437</v>
      </c>
      <c r="P46" s="64">
        <f>SUMPRODUCT(U40:U43,V40:V43)</f>
        <v>0</v>
      </c>
      <c r="Q46"/>
      <c r="R46"/>
      <c r="S46"/>
      <c r="T46"/>
      <c r="U46"/>
    </row>
    <row r="49" spans="15:18" x14ac:dyDescent="0.2">
      <c r="O49" s="1" t="s">
        <v>427</v>
      </c>
    </row>
    <row r="50" spans="15:18" x14ac:dyDescent="0.2">
      <c r="R50" s="1" t="s">
        <v>429</v>
      </c>
    </row>
    <row r="51" spans="15:18" x14ac:dyDescent="0.2">
      <c r="O51" s="1" t="s">
        <v>428</v>
      </c>
      <c r="R51" s="28">
        <v>2.4</v>
      </c>
    </row>
    <row r="53" spans="15:18" x14ac:dyDescent="0.2">
      <c r="O53" s="1" t="s">
        <v>431</v>
      </c>
      <c r="P53" s="287">
        <f>1-AN32</f>
        <v>1</v>
      </c>
    </row>
    <row r="54" spans="15:18" x14ac:dyDescent="0.2">
      <c r="O54" s="1" t="s">
        <v>440</v>
      </c>
      <c r="P54" s="287">
        <f>P53*R51</f>
        <v>2.4</v>
      </c>
      <c r="Q54" s="1">
        <f>R51</f>
        <v>2.4</v>
      </c>
    </row>
    <row r="55" spans="15:18" x14ac:dyDescent="0.2">
      <c r="O55" s="1" t="s">
        <v>441</v>
      </c>
      <c r="P55" s="75">
        <f>($AW$5*$D$11+$AW$6*$E$11)*P54</f>
        <v>0</v>
      </c>
      <c r="Q55" s="75">
        <f>($AW$5*$D$11+$AW$6*$E$11)*Q54</f>
        <v>0</v>
      </c>
    </row>
    <row r="56" spans="15:18" x14ac:dyDescent="0.2">
      <c r="O56" s="1" t="s">
        <v>432</v>
      </c>
      <c r="P56" s="286">
        <f>P55/$BV$30/60</f>
        <v>0</v>
      </c>
      <c r="Q56" s="286">
        <f>Q55/$BV$30/60</f>
        <v>0</v>
      </c>
    </row>
    <row r="57" spans="15:18" x14ac:dyDescent="0.2">
      <c r="P57" s="1" t="s">
        <v>434</v>
      </c>
      <c r="Q57" s="1" t="s">
        <v>435</v>
      </c>
    </row>
    <row r="58" spans="15:18" x14ac:dyDescent="0.2">
      <c r="O58" s="1" t="s">
        <v>433</v>
      </c>
      <c r="P58" s="288">
        <f>P56-P46-BO23</f>
        <v>0</v>
      </c>
      <c r="Q58" s="288">
        <f>Q56-P46-BO38</f>
        <v>0</v>
      </c>
    </row>
    <row r="66" spans="15:19" x14ac:dyDescent="0.2">
      <c r="O66" s="1" t="s">
        <v>417</v>
      </c>
    </row>
    <row r="67" spans="15:19" x14ac:dyDescent="0.2">
      <c r="P67" s="1" t="s">
        <v>422</v>
      </c>
      <c r="R67" s="1" t="s">
        <v>439</v>
      </c>
    </row>
    <row r="68" spans="15:19" x14ac:dyDescent="0.2">
      <c r="O68" s="1" t="s">
        <v>418</v>
      </c>
      <c r="P68" s="1">
        <v>20</v>
      </c>
      <c r="R68" s="287">
        <f>P68/60</f>
        <v>0.33333333333333331</v>
      </c>
    </row>
    <row r="69" spans="15:19" x14ac:dyDescent="0.2">
      <c r="O69" s="1" t="s">
        <v>419</v>
      </c>
      <c r="P69" s="1">
        <v>10</v>
      </c>
      <c r="R69" s="287">
        <f>P69/60</f>
        <v>0.16666666666666666</v>
      </c>
    </row>
    <row r="70" spans="15:19" x14ac:dyDescent="0.2">
      <c r="O70" s="1" t="s">
        <v>186</v>
      </c>
      <c r="P70" s="1">
        <v>20</v>
      </c>
      <c r="R70" s="287">
        <f>P70/60</f>
        <v>0.33333333333333331</v>
      </c>
    </row>
    <row r="71" spans="15:19" x14ac:dyDescent="0.2">
      <c r="O71" s="1" t="s">
        <v>420</v>
      </c>
      <c r="P71" s="1">
        <v>30</v>
      </c>
      <c r="R71" s="287">
        <f>P71/60</f>
        <v>0.5</v>
      </c>
    </row>
    <row r="72" spans="15:19" x14ac:dyDescent="0.2">
      <c r="O72" s="1" t="s">
        <v>421</v>
      </c>
      <c r="P72" s="1">
        <v>15</v>
      </c>
      <c r="R72" s="287">
        <f>P72/60</f>
        <v>0.25</v>
      </c>
    </row>
    <row r="75" spans="15:19" x14ac:dyDescent="0.2">
      <c r="O75" s="1" t="s">
        <v>430</v>
      </c>
    </row>
    <row r="76" spans="15:19" x14ac:dyDescent="0.2">
      <c r="Q76" s="1" t="s">
        <v>424</v>
      </c>
      <c r="R76" s="1" t="s">
        <v>215</v>
      </c>
      <c r="S76" s="1" t="s">
        <v>438</v>
      </c>
    </row>
    <row r="77" spans="15:19" x14ac:dyDescent="0.2">
      <c r="O77" s="1" t="s">
        <v>423</v>
      </c>
      <c r="Q77" s="1">
        <v>2</v>
      </c>
    </row>
    <row r="78" spans="15:19" x14ac:dyDescent="0.2">
      <c r="O78" s="1" t="s">
        <v>425</v>
      </c>
      <c r="Q78" s="1">
        <v>2</v>
      </c>
    </row>
    <row r="79" spans="15:19" x14ac:dyDescent="0.2">
      <c r="O79" s="1" t="s">
        <v>426</v>
      </c>
      <c r="Q79" s="1">
        <v>2</v>
      </c>
      <c r="R79" s="1">
        <f>'Kitchen Equipment'!D5</f>
        <v>0</v>
      </c>
      <c r="S79" s="1">
        <v>0.1</v>
      </c>
    </row>
  </sheetData>
  <mergeCells count="167">
    <mergeCell ref="AH31:AM31"/>
    <mergeCell ref="AN31:AS31"/>
    <mergeCell ref="AN32:AS32"/>
    <mergeCell ref="AH28:AJ28"/>
    <mergeCell ref="AK28:AM28"/>
    <mergeCell ref="O29:BB29"/>
    <mergeCell ref="AH30:AM30"/>
    <mergeCell ref="AN30:AS30"/>
    <mergeCell ref="AZ26:BB26"/>
    <mergeCell ref="O27:AG27"/>
    <mergeCell ref="AH27:AJ27"/>
    <mergeCell ref="AK27:AM27"/>
    <mergeCell ref="AN27:AV27"/>
    <mergeCell ref="AW27:AY27"/>
    <mergeCell ref="AZ27:BB27"/>
    <mergeCell ref="AK26:AM26"/>
    <mergeCell ref="AN26:AP26"/>
    <mergeCell ref="AQ26:AS26"/>
    <mergeCell ref="AT26:AV26"/>
    <mergeCell ref="AW26:AY26"/>
    <mergeCell ref="P26:X26"/>
    <mergeCell ref="Y26:AA26"/>
    <mergeCell ref="AB26:AD26"/>
    <mergeCell ref="AE26:AG26"/>
    <mergeCell ref="AH26:AJ26"/>
    <mergeCell ref="AZ24:BB24"/>
    <mergeCell ref="P25:X25"/>
    <mergeCell ref="Y25:AA25"/>
    <mergeCell ref="AB25:AD25"/>
    <mergeCell ref="AE25:AG25"/>
    <mergeCell ref="AH25:AJ25"/>
    <mergeCell ref="AK25:AM25"/>
    <mergeCell ref="AN25:AP25"/>
    <mergeCell ref="AQ25:AS25"/>
    <mergeCell ref="AT25:AV25"/>
    <mergeCell ref="AW25:AY25"/>
    <mergeCell ref="AZ25:BB25"/>
    <mergeCell ref="AK24:AM24"/>
    <mergeCell ref="AN24:AP24"/>
    <mergeCell ref="AQ24:AS24"/>
    <mergeCell ref="AT24:AV24"/>
    <mergeCell ref="AW24:AY24"/>
    <mergeCell ref="P24:X24"/>
    <mergeCell ref="Y24:AA24"/>
    <mergeCell ref="AB24:AD24"/>
    <mergeCell ref="AE24:AG24"/>
    <mergeCell ref="AH24:AJ24"/>
    <mergeCell ref="AK23:AM23"/>
    <mergeCell ref="AN23:AP23"/>
    <mergeCell ref="AQ23:AS23"/>
    <mergeCell ref="AT23:AV23"/>
    <mergeCell ref="AW23:AY23"/>
    <mergeCell ref="AZ23:BB23"/>
    <mergeCell ref="AE22:AG22"/>
    <mergeCell ref="AH22:AJ22"/>
    <mergeCell ref="AK22:AM22"/>
    <mergeCell ref="AN22:AP22"/>
    <mergeCell ref="AQ22:AS22"/>
    <mergeCell ref="O20:AZ20"/>
    <mergeCell ref="O21:O26"/>
    <mergeCell ref="P21:X21"/>
    <mergeCell ref="Y21:AA21"/>
    <mergeCell ref="AB21:AD21"/>
    <mergeCell ref="AE21:AG21"/>
    <mergeCell ref="AH21:AJ21"/>
    <mergeCell ref="AK21:AM21"/>
    <mergeCell ref="AN21:AP21"/>
    <mergeCell ref="AQ21:AS21"/>
    <mergeCell ref="AT21:AV21"/>
    <mergeCell ref="AW21:AY21"/>
    <mergeCell ref="AZ21:BB21"/>
    <mergeCell ref="P22:X22"/>
    <mergeCell ref="Y22:AA22"/>
    <mergeCell ref="AB22:AD22"/>
    <mergeCell ref="AT22:AV22"/>
    <mergeCell ref="AW22:AY22"/>
    <mergeCell ref="AZ22:BB22"/>
    <mergeCell ref="P23:X23"/>
    <mergeCell ref="Y23:AA23"/>
    <mergeCell ref="AB23:AD23"/>
    <mergeCell ref="AE23:AG23"/>
    <mergeCell ref="AH23:AJ23"/>
    <mergeCell ref="AW18:AY18"/>
    <mergeCell ref="AZ18:BB18"/>
    <mergeCell ref="P19:X19"/>
    <mergeCell ref="Y19:AA19"/>
    <mergeCell ref="AB19:AD19"/>
    <mergeCell ref="AE19:AG19"/>
    <mergeCell ref="AH19:AJ19"/>
    <mergeCell ref="AK19:AM19"/>
    <mergeCell ref="AN19:AP19"/>
    <mergeCell ref="AQ19:AS19"/>
    <mergeCell ref="AT19:AV19"/>
    <mergeCell ref="AW19:AY19"/>
    <mergeCell ref="AZ19:BB19"/>
    <mergeCell ref="AH18:AJ18"/>
    <mergeCell ref="AK18:AM18"/>
    <mergeCell ref="AN18:AP18"/>
    <mergeCell ref="AQ18:AS18"/>
    <mergeCell ref="AT18:AV18"/>
    <mergeCell ref="AW16:AY16"/>
    <mergeCell ref="AZ16:BB16"/>
    <mergeCell ref="P17:X17"/>
    <mergeCell ref="Y17:AA17"/>
    <mergeCell ref="AB17:AD17"/>
    <mergeCell ref="AE17:AG17"/>
    <mergeCell ref="AH17:AJ17"/>
    <mergeCell ref="AK17:AM17"/>
    <mergeCell ref="AN17:AP17"/>
    <mergeCell ref="AQ17:AS17"/>
    <mergeCell ref="AT17:AV17"/>
    <mergeCell ref="AW17:AY17"/>
    <mergeCell ref="AZ17:BB17"/>
    <mergeCell ref="AH16:AJ16"/>
    <mergeCell ref="AK16:AM16"/>
    <mergeCell ref="AN16:AP16"/>
    <mergeCell ref="AQ16:AS16"/>
    <mergeCell ref="AT16:AV16"/>
    <mergeCell ref="O16:O19"/>
    <mergeCell ref="P16:X16"/>
    <mergeCell ref="Y16:AA16"/>
    <mergeCell ref="AB16:AD16"/>
    <mergeCell ref="AE16:AG16"/>
    <mergeCell ref="P18:X18"/>
    <mergeCell ref="Y18:AA18"/>
    <mergeCell ref="AB18:AD18"/>
    <mergeCell ref="AE18:AG18"/>
    <mergeCell ref="O12:BB12"/>
    <mergeCell ref="Y13:AM13"/>
    <mergeCell ref="AN13:BB13"/>
    <mergeCell ref="Y14:AA15"/>
    <mergeCell ref="AB14:AD15"/>
    <mergeCell ref="AE14:AG15"/>
    <mergeCell ref="AH14:AJ15"/>
    <mergeCell ref="AK14:AM15"/>
    <mergeCell ref="AN14:AP15"/>
    <mergeCell ref="AQ14:AS15"/>
    <mergeCell ref="AT14:AV15"/>
    <mergeCell ref="AW14:AY15"/>
    <mergeCell ref="AZ14:BB15"/>
    <mergeCell ref="O10:X10"/>
    <mergeCell ref="Y10:AB10"/>
    <mergeCell ref="AC10:AF10"/>
    <mergeCell ref="Y7:AB7"/>
    <mergeCell ref="AC7:AF7"/>
    <mergeCell ref="O8:X8"/>
    <mergeCell ref="Y8:AB8"/>
    <mergeCell ref="AC8:AF8"/>
    <mergeCell ref="O11:AZ11"/>
    <mergeCell ref="O6:X6"/>
    <mergeCell ref="Y6:AB6"/>
    <mergeCell ref="AC6:AF6"/>
    <mergeCell ref="AH6:AV6"/>
    <mergeCell ref="AW6:BB6"/>
    <mergeCell ref="O7:X7"/>
    <mergeCell ref="O9:X9"/>
    <mergeCell ref="Y9:AB9"/>
    <mergeCell ref="AC9:AF9"/>
    <mergeCell ref="O2:BB2"/>
    <mergeCell ref="O4:X4"/>
    <mergeCell ref="Y4:AB4"/>
    <mergeCell ref="AC4:AF4"/>
    <mergeCell ref="O5:X5"/>
    <mergeCell ref="Y5:AB5"/>
    <mergeCell ref="AC5:AF5"/>
    <mergeCell ref="AH5:AV5"/>
    <mergeCell ref="AW5:BB5"/>
  </mergeCells>
  <conditionalFormatting sqref="AN32:AS32">
    <cfRule type="cellIs" dxfId="7" priority="1" operator="equal">
      <formula>0</formula>
    </cfRule>
    <cfRule type="cellIs" dxfId="6" priority="2" operator="greaterThanOrEqual">
      <formula>0.3</formula>
    </cfRule>
    <cfRule type="cellIs" dxfId="5" priority="3" operator="lessThan">
      <formula>0.3</formula>
    </cfRule>
  </conditionalFormatting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BEC00-66C6-4FFF-9A71-5BD700E08802}">
  <sheetPr codeName="Sheet6">
    <tabColor rgb="FFFFC000"/>
  </sheetPr>
  <dimension ref="A1:B19"/>
  <sheetViews>
    <sheetView workbookViewId="0">
      <selection activeCell="B13" sqref="B13"/>
    </sheetView>
  </sheetViews>
  <sheetFormatPr defaultRowHeight="15" x14ac:dyDescent="0.25"/>
  <cols>
    <col min="2" max="2" width="52.140625" customWidth="1"/>
  </cols>
  <sheetData>
    <row r="1" spans="1:2" x14ac:dyDescent="0.25">
      <c r="A1" t="s">
        <v>227</v>
      </c>
    </row>
    <row r="2" spans="1:2" x14ac:dyDescent="0.25">
      <c r="B2" s="77" t="s">
        <v>228</v>
      </c>
    </row>
    <row r="3" spans="1:2" x14ac:dyDescent="0.25">
      <c r="B3" s="78" t="s">
        <v>229</v>
      </c>
    </row>
    <row r="4" spans="1:2" x14ac:dyDescent="0.25">
      <c r="B4" s="79" t="s">
        <v>230</v>
      </c>
    </row>
    <row r="7" spans="1:2" x14ac:dyDescent="0.25">
      <c r="B7" t="s">
        <v>231</v>
      </c>
    </row>
    <row r="8" spans="1:2" x14ac:dyDescent="0.25">
      <c r="B8" t="s">
        <v>232</v>
      </c>
    </row>
    <row r="9" spans="1:2" x14ac:dyDescent="0.25">
      <c r="B9" t="s">
        <v>233</v>
      </c>
    </row>
    <row r="10" spans="1:2" x14ac:dyDescent="0.25">
      <c r="B10" t="s">
        <v>234</v>
      </c>
    </row>
    <row r="11" spans="1:2" x14ac:dyDescent="0.25">
      <c r="B11" t="s">
        <v>235</v>
      </c>
    </row>
    <row r="12" spans="1:2" x14ac:dyDescent="0.25">
      <c r="B12" t="s">
        <v>236</v>
      </c>
    </row>
    <row r="13" spans="1:2" x14ac:dyDescent="0.25">
      <c r="B13" t="s">
        <v>237</v>
      </c>
    </row>
    <row r="14" spans="1:2" x14ac:dyDescent="0.25">
      <c r="B14" t="s">
        <v>238</v>
      </c>
    </row>
    <row r="16" spans="1:2" x14ac:dyDescent="0.25">
      <c r="A16" t="s">
        <v>239</v>
      </c>
    </row>
    <row r="17" spans="2:2" x14ac:dyDescent="0.25">
      <c r="B17" t="s">
        <v>240</v>
      </c>
    </row>
    <row r="18" spans="2:2" x14ac:dyDescent="0.25">
      <c r="B18" t="s">
        <v>241</v>
      </c>
    </row>
    <row r="19" spans="2:2" x14ac:dyDescent="0.25">
      <c r="B19" t="s">
        <v>242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General Information</vt:lpstr>
      <vt:lpstr>Envelope</vt:lpstr>
      <vt:lpstr>Gym occupancy</vt:lpstr>
      <vt:lpstr>Air Cooled Chiller Calc</vt:lpstr>
      <vt:lpstr>Air Cooled DX IEER</vt:lpstr>
      <vt:lpstr>VRF HP IEER</vt:lpstr>
      <vt:lpstr>VRF HP IEER Daikin</vt:lpstr>
      <vt:lpstr>Domestic Hot Water</vt:lpstr>
      <vt:lpstr>Kitchen Instructions</vt:lpstr>
      <vt:lpstr>Kitchen Equipment</vt:lpstr>
      <vt:lpstr>Input to eQuest</vt:lpstr>
      <vt:lpstr>Default values</vt:lpstr>
      <vt:lpstr>Pool inputs</vt:lpstr>
      <vt:lpstr>Matching Summary</vt:lpstr>
      <vt:lpstr>Electric Matching</vt:lpstr>
      <vt:lpstr>Gas Matching</vt:lpstr>
      <vt:lpstr>Steam Matching</vt:lpstr>
      <vt:lpstr>Fuel Oil Matching</vt:lpstr>
      <vt:lpstr>Other Energy Matching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Ransom</dc:creator>
  <cp:lastModifiedBy>Filip Stoian</cp:lastModifiedBy>
  <cp:lastPrinted>2020-03-27T19:04:38Z</cp:lastPrinted>
  <dcterms:created xsi:type="dcterms:W3CDTF">2020-03-27T18:18:47Z</dcterms:created>
  <dcterms:modified xsi:type="dcterms:W3CDTF">2025-03-17T17:21:31Z</dcterms:modified>
</cp:coreProperties>
</file>